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f.fallasch\Desktop\"/>
    </mc:Choice>
  </mc:AlternateContent>
  <xr:revisionPtr revIDLastSave="0" documentId="8_{596A7EB1-699C-4619-B6EA-4BB1BC83C7D3}" xr6:coauthVersionLast="47" xr6:coauthVersionMax="47" xr10:uidLastSave="{00000000-0000-0000-0000-000000000000}"/>
  <bookViews>
    <workbookView xWindow="-28920" yWindow="-7005" windowWidth="29040" windowHeight="15840" xr2:uid="{F9A6975A-059A-D443-BC4F-AC9012E5E940}"/>
  </bookViews>
  <sheets>
    <sheet name="About" sheetId="7" r:id="rId1"/>
    <sheet name="Results" sheetId="6" r:id="rId2"/>
    <sheet name="Inputs" sheetId="2" r:id="rId3"/>
  </sheets>
  <definedNames>
    <definedName name="_Hlk73976076" localSheetId="2">Inputs!$F$277</definedName>
    <definedName name="_Hlk73976076" localSheetId="1">Results!#REF!</definedName>
    <definedName name="_Hlk74061125" localSheetId="2">Inputs!$F$425</definedName>
    <definedName name="_Toc86573798" localSheetId="2">Inputs!$D$163</definedName>
    <definedName name="List1">Inputs!$G$330:$G$352</definedName>
    <definedName name="Requirements" localSheetId="1">Tabelle3[Spalte1]</definedName>
    <definedName name="Requirements">Tabelle3[Spalte1]</definedName>
    <definedName name="Technology">Inputs!$G$330:$G$352</definedName>
    <definedName name="TechnologyType">Inputs!$I$328:$I$355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6" i="2" l="1"/>
  <c r="H413" i="2"/>
  <c r="H406" i="2" l="1"/>
  <c r="H47" i="2" l="1"/>
  <c r="H48" i="2"/>
  <c r="H49" i="2"/>
  <c r="H54" i="2"/>
  <c r="H196" i="2"/>
  <c r="H50" i="2" l="1"/>
  <c r="H576" i="2" l="1"/>
  <c r="H183" i="2" l="1"/>
  <c r="H203" i="2"/>
  <c r="H320" i="2"/>
  <c r="H302" i="2"/>
  <c r="H255" i="2"/>
  <c r="H256" i="2" s="1"/>
  <c r="H316" i="2"/>
  <c r="H24" i="2"/>
  <c r="H20" i="2"/>
  <c r="H551" i="2"/>
  <c r="H558" i="2" s="1"/>
  <c r="H569" i="2" s="1"/>
  <c r="H508" i="2"/>
  <c r="H507" i="2"/>
  <c r="H499" i="2"/>
  <c r="H226" i="2"/>
  <c r="H231" i="2" s="1"/>
  <c r="H298" i="2"/>
  <c r="H278" i="2"/>
  <c r="H273" i="2"/>
  <c r="H269" i="2"/>
  <c r="H265" i="2"/>
  <c r="H261" i="2"/>
  <c r="H509" i="2" l="1"/>
  <c r="H512" i="2" s="1"/>
  <c r="H66" i="2" l="1"/>
  <c r="H67" i="2" s="1"/>
  <c r="H147" i="2"/>
  <c r="H328" i="2"/>
  <c r="H520" i="2"/>
  <c r="H34" i="2"/>
  <c r="H531" i="2" l="1"/>
  <c r="H287" i="2" l="1"/>
  <c r="H436" i="2" l="1"/>
  <c r="H442" i="2"/>
  <c r="H451" i="2"/>
  <c r="H454" i="2"/>
  <c r="E10" i="6" l="1"/>
  <c r="B516" i="2" l="1"/>
  <c r="B417" i="2"/>
  <c r="B356" i="2"/>
  <c r="H39" i="2" l="1"/>
  <c r="E7" i="6" s="1"/>
  <c r="H38" i="2"/>
  <c r="H100" i="2"/>
  <c r="E13" i="6" s="1"/>
  <c r="H92" i="2"/>
  <c r="H91" i="2"/>
  <c r="H86" i="2"/>
  <c r="H84" i="2"/>
  <c r="H83" i="2"/>
  <c r="H82" i="2"/>
  <c r="H81" i="2"/>
  <c r="H80" i="2"/>
  <c r="H79" i="2"/>
  <c r="H78" i="2"/>
  <c r="H77" i="2"/>
  <c r="H75" i="2"/>
  <c r="H74" i="2"/>
  <c r="H73" i="2"/>
  <c r="H85" i="2"/>
  <c r="H76" i="2"/>
  <c r="H459" i="2"/>
  <c r="E39" i="6"/>
  <c r="H521" i="2"/>
  <c r="H539" i="2"/>
  <c r="H526" i="2"/>
  <c r="H536" i="2"/>
  <c r="H475" i="2"/>
  <c r="H476" i="2"/>
  <c r="H477" i="2"/>
  <c r="H478" i="2"/>
  <c r="H479" i="2"/>
  <c r="H480" i="2"/>
  <c r="H481" i="2"/>
  <c r="H482" i="2"/>
  <c r="H483" i="2"/>
  <c r="H484" i="2"/>
  <c r="H485" i="2"/>
  <c r="H486" i="2"/>
  <c r="H487" i="2"/>
  <c r="H488" i="2"/>
  <c r="H489" i="2"/>
  <c r="H474" i="2"/>
  <c r="E9" i="6" l="1"/>
  <c r="E38" i="6"/>
  <c r="H30" i="2"/>
  <c r="H61" i="2" s="1"/>
  <c r="E8" i="6"/>
  <c r="H93" i="2"/>
  <c r="H96" i="2" s="1"/>
  <c r="H543" i="2"/>
  <c r="H490" i="2"/>
  <c r="H493" i="2" s="1"/>
  <c r="H546" i="2" l="1"/>
  <c r="H583" i="2" s="1"/>
  <c r="E36" i="6" s="1"/>
  <c r="E6" i="6"/>
  <c r="E35" i="6"/>
  <c r="E12" i="6"/>
  <c r="H107" i="2"/>
  <c r="H109" i="2" s="1"/>
  <c r="E5" i="6"/>
  <c r="E34" i="6"/>
  <c r="E37" i="6" l="1"/>
  <c r="E4" i="6"/>
  <c r="E11" i="6"/>
  <c r="H463" i="2"/>
  <c r="H462" i="2"/>
  <c r="H461" i="2"/>
  <c r="H460" i="2"/>
  <c r="H458" i="2"/>
  <c r="H457" i="2"/>
  <c r="H456" i="2"/>
  <c r="H455" i="2"/>
  <c r="H453" i="2"/>
  <c r="H452" i="2"/>
  <c r="H450" i="2"/>
  <c r="H449" i="2"/>
  <c r="H448" i="2"/>
  <c r="H447" i="2"/>
  <c r="H446" i="2"/>
  <c r="H445" i="2"/>
  <c r="H444" i="2"/>
  <c r="H443" i="2"/>
  <c r="H441" i="2"/>
  <c r="H440" i="2"/>
  <c r="H439" i="2"/>
  <c r="H438" i="2"/>
  <c r="H437" i="2"/>
  <c r="H435" i="2"/>
  <c r="H434" i="2"/>
  <c r="H433" i="2"/>
  <c r="H432" i="2"/>
  <c r="H431" i="2"/>
  <c r="H430" i="2"/>
  <c r="H429" i="2"/>
  <c r="H428" i="2"/>
  <c r="H427" i="2"/>
  <c r="H426" i="2"/>
  <c r="H425" i="2"/>
  <c r="H424" i="2"/>
  <c r="H423" i="2"/>
  <c r="H422" i="2"/>
  <c r="H421" i="2"/>
  <c r="H401" i="2"/>
  <c r="H402" i="2"/>
  <c r="H403" i="2"/>
  <c r="H404" i="2"/>
  <c r="H405" i="2"/>
  <c r="H407" i="2"/>
  <c r="H408" i="2"/>
  <c r="H409" i="2"/>
  <c r="H400" i="2"/>
  <c r="H399" i="2"/>
  <c r="H354" i="2"/>
  <c r="E27" i="6" s="1"/>
  <c r="H292" i="2"/>
  <c r="H291" i="2"/>
  <c r="H290" i="2"/>
  <c r="H288" i="2"/>
  <c r="H282" i="2"/>
  <c r="H280" i="2"/>
  <c r="H279" i="2"/>
  <c r="H277" i="2"/>
  <c r="H464" i="2" l="1"/>
  <c r="H467" i="2" s="1"/>
  <c r="H514" i="2" s="1"/>
  <c r="E33" i="6" l="1"/>
  <c r="E32" i="6"/>
  <c r="H152" i="2" l="1"/>
  <c r="E18" i="6" s="1"/>
  <c r="E23" i="6"/>
  <c r="H211" i="2"/>
  <c r="H209" i="2"/>
  <c r="H208" i="2"/>
  <c r="H207" i="2"/>
  <c r="H205" i="2"/>
  <c r="H204" i="2"/>
  <c r="H216" i="2"/>
  <c r="H214" i="2"/>
  <c r="H215" i="2"/>
  <c r="H217" i="2"/>
  <c r="H213" i="2"/>
  <c r="H210" i="2"/>
  <c r="H202" i="2"/>
  <c r="H201" i="2"/>
  <c r="H192" i="2"/>
  <c r="H191" i="2"/>
  <c r="H190" i="2"/>
  <c r="H189" i="2"/>
  <c r="H187" i="2"/>
  <c r="H186" i="2"/>
  <c r="H185" i="2"/>
  <c r="H184" i="2"/>
  <c r="H188" i="2"/>
  <c r="H181" i="2"/>
  <c r="H182" i="2"/>
  <c r="H180" i="2"/>
  <c r="H179" i="2"/>
  <c r="H163" i="2"/>
  <c r="H161" i="2"/>
  <c r="H162" i="2"/>
  <c r="H160" i="2"/>
  <c r="H158" i="2"/>
  <c r="H138" i="2"/>
  <c r="H140" i="2"/>
  <c r="H139" i="2"/>
  <c r="H122" i="2"/>
  <c r="H116" i="2"/>
  <c r="H117" i="2"/>
  <c r="H119" i="2"/>
  <c r="H120" i="2"/>
  <c r="H121" i="2"/>
  <c r="H123" i="2"/>
  <c r="H125" i="2"/>
  <c r="H126" i="2"/>
  <c r="H127" i="2"/>
  <c r="H128" i="2"/>
  <c r="H115" i="2"/>
  <c r="H218" i="2" l="1"/>
  <c r="H221" i="2" s="1"/>
  <c r="H233" i="2" s="1"/>
  <c r="H193" i="2"/>
  <c r="H164" i="2"/>
  <c r="H167" i="2" s="1"/>
  <c r="E19" i="6" l="1"/>
  <c r="E20" i="6"/>
  <c r="E21" i="6"/>
  <c r="H141" i="2"/>
  <c r="H142" i="2" s="1"/>
  <c r="H129" i="2"/>
  <c r="H315" i="2"/>
  <c r="H314" i="2"/>
  <c r="H313" i="2"/>
  <c r="H312" i="2"/>
  <c r="H311" i="2"/>
  <c r="H310" i="2"/>
  <c r="H360" i="2"/>
  <c r="H361" i="2"/>
  <c r="H362" i="2"/>
  <c r="H363" i="2"/>
  <c r="H364" i="2"/>
  <c r="H365" i="2"/>
  <c r="H366" i="2"/>
  <c r="H367" i="2"/>
  <c r="H368" i="2"/>
  <c r="H369" i="2"/>
  <c r="H370" i="2"/>
  <c r="H371" i="2"/>
  <c r="H372" i="2"/>
  <c r="H373" i="2"/>
  <c r="H374" i="2"/>
  <c r="H386" i="2"/>
  <c r="H382" i="2"/>
  <c r="H391" i="2"/>
  <c r="H390" i="2"/>
  <c r="H389" i="2"/>
  <c r="H388" i="2"/>
  <c r="H387" i="2"/>
  <c r="H385" i="2"/>
  <c r="H384" i="2"/>
  <c r="H383" i="2"/>
  <c r="H283" i="2"/>
  <c r="H132" i="2" l="1"/>
  <c r="E15" i="6" s="1"/>
  <c r="E22" i="6"/>
  <c r="H317" i="2"/>
  <c r="H375" i="2"/>
  <c r="H410" i="2"/>
  <c r="H392" i="2"/>
  <c r="H395" i="2" l="1"/>
  <c r="E30" i="6" s="1"/>
  <c r="E31" i="6"/>
  <c r="H378" i="2"/>
  <c r="E26" i="6"/>
  <c r="H154" i="2"/>
  <c r="E17" i="6"/>
  <c r="H289" i="2"/>
  <c r="H286" i="2"/>
  <c r="H285" i="2"/>
  <c r="H284" i="2"/>
  <c r="H281" i="2"/>
  <c r="H415" i="2" l="1"/>
  <c r="E28" i="6" s="1"/>
  <c r="E29" i="6"/>
  <c r="H235" i="2"/>
  <c r="E14" i="6" s="1"/>
  <c r="E16" i="6"/>
  <c r="H293" i="2"/>
  <c r="H294" i="2" l="1"/>
  <c r="H299" i="2" s="1"/>
  <c r="H303" i="2" s="1"/>
  <c r="H322" i="2" s="1"/>
  <c r="E24" i="6" s="1"/>
  <c r="E25" i="6" l="1"/>
</calcChain>
</file>

<file path=xl/sharedStrings.xml><?xml version="1.0" encoding="utf-8"?>
<sst xmlns="http://schemas.openxmlformats.org/spreadsheetml/2006/main" count="1057" uniqueCount="671">
  <si>
    <t>Tool for self-application of the CCQI Methodology</t>
  </si>
  <si>
    <t>SCORING RESULTS</t>
  </si>
  <si>
    <t>Quality objective 1: Additionality</t>
  </si>
  <si>
    <t xml:space="preserve">Criterion 1.1 </t>
  </si>
  <si>
    <t>Sub-criterion 1.1.1</t>
  </si>
  <si>
    <t>Sub-criterion 1.1.2</t>
  </si>
  <si>
    <t>Sub-criterion 1.1.3</t>
  </si>
  <si>
    <t>Sub-criterion 1.1.4</t>
  </si>
  <si>
    <t>Criterion 1.2</t>
  </si>
  <si>
    <t xml:space="preserve">Criterion 1.3 </t>
  </si>
  <si>
    <t>Sub-criterion 1.3.1</t>
  </si>
  <si>
    <t>Sub-criterion 1.3.2</t>
  </si>
  <si>
    <t>Quality objective 2: Avoiding double counting of emission reductions or removals</t>
  </si>
  <si>
    <t xml:space="preserve">Criterion 2.1 </t>
  </si>
  <si>
    <t>Criterion 2.2</t>
  </si>
  <si>
    <t>Sub-criterion 2.2.1</t>
  </si>
  <si>
    <t>Sub-criterion 2.2.2</t>
  </si>
  <si>
    <t xml:space="preserve">Criterion 2.3 </t>
  </si>
  <si>
    <t>Criterion 2.4</t>
  </si>
  <si>
    <t>Sub-criterion 2.4.1</t>
  </si>
  <si>
    <t>Sub-criterion 2.4.2</t>
  </si>
  <si>
    <t>Sub-criterion 2.4.3</t>
  </si>
  <si>
    <t>Quality objective 3: Addressing non-permanence</t>
  </si>
  <si>
    <t>Sub-criterion 3.2.1</t>
  </si>
  <si>
    <t>Sub-criterion 3.2.2</t>
  </si>
  <si>
    <t>Quality objective 4: Facilitating transition towards net zero emissions</t>
  </si>
  <si>
    <t>Quality objective 5: Strong institutional arrangements and processes of the carbon crediting program</t>
  </si>
  <si>
    <t xml:space="preserve">Criterion 5.1 </t>
  </si>
  <si>
    <t>Criterion 5.2</t>
  </si>
  <si>
    <t xml:space="preserve">Criterion 5.3 </t>
  </si>
  <si>
    <t>Quality objective 6: Environmental and social impacts</t>
  </si>
  <si>
    <t xml:space="preserve">Criterion 6.1 </t>
  </si>
  <si>
    <t>Criterion 6.2</t>
  </si>
  <si>
    <t xml:space="preserve">Criterion 6.3 </t>
  </si>
  <si>
    <t>Quality objective 7: Host country ambition</t>
  </si>
  <si>
    <t xml:space="preserve">Criterion 7.1 </t>
  </si>
  <si>
    <t>Criterion 7.2</t>
  </si>
  <si>
    <t>Criterion 7.3</t>
  </si>
  <si>
    <t>SCORING EVALUATION</t>
  </si>
  <si>
    <t>Description of the evaluated carbon credit features</t>
  </si>
  <si>
    <t>(This is only for internal purposes of the user to document which type of carbon credit is being evaluated)</t>
  </si>
  <si>
    <t>Project type (or individual project)</t>
  </si>
  <si>
    <t>Landfill gas utilization</t>
  </si>
  <si>
    <t>Carbon crediting program</t>
  </si>
  <si>
    <t>CDM</t>
  </si>
  <si>
    <t>Quantification methodology</t>
  </si>
  <si>
    <t>ACM0001</t>
  </si>
  <si>
    <t>Host country</t>
  </si>
  <si>
    <t>Brazil</t>
  </si>
  <si>
    <t>QUALITY OBJECTIVE 1: ROBUST DETERMINATION OF THE GHG EMISSION IMPACT OF THE MITIGATION ACTIVITY</t>
  </si>
  <si>
    <t>Criterion 1.1: Additionality</t>
  </si>
  <si>
    <t>Sub-criterion 1.1.1: Eligibility of mitigation activities that are triggered by legal requirements</t>
  </si>
  <si>
    <t>Evaluation question</t>
  </si>
  <si>
    <t>Evaluation</t>
  </si>
  <si>
    <t>Is it very unlikely that any relevant legal requirements that require the project's implementation exist or will be introduced during the crediting periods?</t>
  </si>
  <si>
    <t>No</t>
  </si>
  <si>
    <t>Indicator</t>
  </si>
  <si>
    <t>Score</t>
  </si>
  <si>
    <t>1.1.1.1</t>
  </si>
  <si>
    <t>Consideration of existing legal requirements</t>
  </si>
  <si>
    <t>The program's provisions exclude from eligibility mitigation activities that are required to be implemented due to existing legal requirements, regardless of whether the legal requirements are enforced or not.</t>
  </si>
  <si>
    <t>The program's provisions exclude mitigation activities from eligibility that are required to be implemented due to existing legal requirements but allow for exemptions from this provision where the legal requirements are systematically not enforced and non-compliance is widespread in the country.</t>
  </si>
  <si>
    <t>The program's provisions do not specifically address this matter, or the program allows mitigation activities to be registered that are required to be implemented due to existing and enforced legal requirements.</t>
  </si>
  <si>
    <t>1.1.1.2</t>
  </si>
  <si>
    <t>Consideration of changes in legal requirements</t>
  </si>
  <si>
    <t>The program does not specifically address this matter or allows projects to continue to issue carbon credits for the remainder of the project lifetime.</t>
  </si>
  <si>
    <t>The program immediately ceases issuance of credits when the new legal requirements enter into force, regardless of whether they are systematically enforced or not.</t>
  </si>
  <si>
    <t>The program immediately ceases issuance of credits when the new legal requirements are systematically enforced.</t>
  </si>
  <si>
    <t xml:space="preserve">The program ceases issuance of credits at the end of the current crediting period if new legal requirements entered into force, regardless of whether they are systematically enforced or not. </t>
  </si>
  <si>
    <t>The program ceases issuance of credits at the end of the current crediting period if new legal requirements entered into force and if these are systematically enforced.</t>
  </si>
  <si>
    <t>Score for sub-criterion 1.1.1</t>
  </si>
  <si>
    <t>Sub-criterion 1.1.2: Consideration of carbon credits before the decision to proceed with the project and restrictions on the eligibility of existing projects</t>
  </si>
  <si>
    <t>Points</t>
  </si>
  <si>
    <t>1.1.2.1</t>
  </si>
  <si>
    <t>The program requires public documentation of intent of registering a project</t>
  </si>
  <si>
    <t>No such requirement, or more than six months are allowed to pass after the decision to proceed with the project is made</t>
  </si>
  <si>
    <t>Before the decision to proceed with the project is made</t>
  </si>
  <si>
    <t>Within six months after the decision to proceed with the project is made</t>
  </si>
  <si>
    <t>1.1.2.2</t>
  </si>
  <si>
    <t>The program has time restrictions until when validation or registration needs to be completed for projects that already started the mitigation activity</t>
  </si>
  <si>
    <t>Yes</t>
  </si>
  <si>
    <t>Score for sub-criterion 1.1.2</t>
  </si>
  <si>
    <t>Are financial attractiveness and/or barriers assessed?</t>
  </si>
  <si>
    <t>Financial attractiveness and barriers</t>
  </si>
  <si>
    <t>Sub-criterion 1.1.3: Financial Attractiveness</t>
  </si>
  <si>
    <t>1.1.3.1</t>
  </si>
  <si>
    <t>IRR/benchmark IRR</t>
  </si>
  <si>
    <t>1.1.3.2</t>
  </si>
  <si>
    <t>∆IRR/ benchmark IRR</t>
  </si>
  <si>
    <t>1.1.3.3</t>
  </si>
  <si>
    <t>IRR+∆IRR/benchmark IRR</t>
  </si>
  <si>
    <t>Score for sub-criterion 1.1.3</t>
  </si>
  <si>
    <t>Sub-criterion 1.1.4: Barriers</t>
  </si>
  <si>
    <t>Assessment of the likelihood that barriers prevent the implementation of a project type and that these barriers can be overcome through the incentives of carbon credits</t>
  </si>
  <si>
    <t>It is likely that barriers do not prevent the implementation of this project type and that the incentives through carbon credits do not help the project to overcome these.</t>
  </si>
  <si>
    <t>It is very likely that barriers prevent the implementation of this project type and that carbon credits incentivize overcoming them.</t>
  </si>
  <si>
    <t>It is very likely that barriers prevent the implementation of this project type and it is likely that the incentives through carbon credits will overcome these barriers. OR It is likely  that barriers prevent the implementation of this project type and it is very likely that the incentives through carbon credits will overcome these barriers.</t>
  </si>
  <si>
    <t>It is likely that barriers prevent the implementation of this project type and that the incentives through carbon credits overcome these barriers.</t>
  </si>
  <si>
    <t>It is likely that barriers prevent the implementation of this project type, but it is uncertain that the incentives through carbon credits will overcome these barriers.</t>
  </si>
  <si>
    <t>Score for criterion 1.1</t>
  </si>
  <si>
    <t>Criterion 1.2: Vulnerability</t>
  </si>
  <si>
    <t>Assessment of the market condition</t>
  </si>
  <si>
    <t>The market is collapsed</t>
  </si>
  <si>
    <t>Degree of vulnerability</t>
  </si>
  <si>
    <t>Vulnerability not conclusive</t>
  </si>
  <si>
    <t>Score for criterion 1.2</t>
  </si>
  <si>
    <t>Criterion 1.3: Robust quantification of emission reductions and removals</t>
  </si>
  <si>
    <t>Sub-criterion 1.3.1:  Robustness of the general program principles and provisions for determining emission reductions and removals</t>
  </si>
  <si>
    <t>1.3.1.1</t>
  </si>
  <si>
    <t>Quantification methodologies and process for developing new or updating existing quantification methodologies is in place</t>
  </si>
  <si>
    <t>1.3.1.2</t>
  </si>
  <si>
    <t>Approved quantification methodologies address the following essential elements: Determination of the project boundary, determination of additionality, establishing the baseline scenario, quantification of emission reductions, and monitoring practices</t>
  </si>
  <si>
    <t>1.3.1.3</t>
  </si>
  <si>
    <t>Approval of new quantification methodologies requires review by an independent technical panel</t>
  </si>
  <si>
    <t>1.3.1.4</t>
  </si>
  <si>
    <t>Approval of new quantification methodologies includes public stakeholder consultation</t>
  </si>
  <si>
    <t>1.3.1.5</t>
  </si>
  <si>
    <t>Quantification methodologies must be reviewed and updated at least every 5 years (with possible exceptions)</t>
  </si>
  <si>
    <t>1.3.1.6</t>
  </si>
  <si>
    <t>Procedures ensure suspension of the use of quantification methodologies in cases that reductions or removals are being over-estimated or that additionality may not be ensured</t>
  </si>
  <si>
    <t>1.3.1.7</t>
  </si>
  <si>
    <t>A carbon credit represents one tCO2e and the underlying GWP values are identified</t>
  </si>
  <si>
    <t>1.3.1.8</t>
  </si>
  <si>
    <t xml:space="preserve">General program provisions require that: </t>
  </si>
  <si>
    <t>Emission reductions or removals must be determined in a conservative manner (unless they can be determined with very high accuracy)</t>
  </si>
  <si>
    <t>1.3.1.9</t>
  </si>
  <si>
    <t>Requirement to identify the level of uncertainty of emission reductions and removals before approving a methodology, or to determine for each project the level of uncertainty in quantifying the emission reductions or removals</t>
  </si>
  <si>
    <t>1.3.1.10</t>
  </si>
  <si>
    <t xml:space="preserve">Degree of conservativeness in quantifying emission reductions or removals must be based on the magnitude of uncertainty </t>
  </si>
  <si>
    <t>1.3.1.11</t>
  </si>
  <si>
    <t>Existing government policies and legal requirements which lower GHG emissions must be included when determining the baseline emissions</t>
  </si>
  <si>
    <t>1.3.1.12</t>
  </si>
  <si>
    <t>New government policies and legal requirements which lower GHG emissions must be included when determining baseline emissions, once they enter into force</t>
  </si>
  <si>
    <t>1.3.1.13</t>
  </si>
  <si>
    <t>Procedures are in place to invalidate and/or replace carbon credits in case of overestimated emission reductions or removals</t>
  </si>
  <si>
    <t>1.3.1.14</t>
  </si>
  <si>
    <t>The maximum length of the sum of crediting periods is:</t>
  </si>
  <si>
    <t>up to 80 years for A/R projects and up to 20 years for all other project types</t>
  </si>
  <si>
    <t>up to 40 years for A/R projects and up to 10 years for all other project types</t>
  </si>
  <si>
    <t>up to 60 years for A/R projects and up to 15 years for all other project types</t>
  </si>
  <si>
    <t>more than 80 years for A/R projects and more than 20 years for all other project types</t>
  </si>
  <si>
    <t>1.3.1.15</t>
  </si>
  <si>
    <t>Program provides guidance on the renewal of the crediting period, which must include a re-assessment of the baseline scenario</t>
  </si>
  <si>
    <t>1.3.1.16</t>
  </si>
  <si>
    <t>In the case of project types where the baseline scenario is the continuation of the current situation, the program requires the reassessment of additionality at the renewal of the crediting period</t>
  </si>
  <si>
    <t>Total</t>
  </si>
  <si>
    <t>Max threshold</t>
  </si>
  <si>
    <t>Min threshold</t>
  </si>
  <si>
    <t>Score for sub-criterion 1.3.1</t>
  </si>
  <si>
    <t>Sub-criterion 1.3.2: Robustness of the methodological standards applied to determine emission reductions or removals</t>
  </si>
  <si>
    <t>Assessment of the robustness of the quantification methodologies applied to determine emission reductions or removals</t>
  </si>
  <si>
    <t>The emission reductions or removals are likely to be estimated accurately but there is medium to high uncertainty (i.e., ±10-50%) in the estimates OR
It is likely (i.e., &gt; 66%) or very likely (i.e., &gt; 90%) that emission reductions or removals are overestimated, but the degree of overestimation is likely to be low (i.e., up to ±10%)</t>
  </si>
  <si>
    <t>It is very likely (i.e., a probability of more than 90%) that the emission reductions or removals are underestimated</t>
  </si>
  <si>
    <t>It is likely (i.e., &gt;= 66%) that the emission reductions or removals are underestimated OR emission reductions or removals are likely to be estimated accurately and uncertainty is low (i.e., up to ±10%)</t>
  </si>
  <si>
    <t>The emission reductions or removals are likely to be estimated accurately but there is very high uncertainty (i.e.,&gt; ±50%) in the estimates OR It is likely (i.e., &gt; 66%) or very likely (i.e., &gt;90%) that the emission reductions or removals are overestimated, and the degree of overestimation is likely to be medium (±10-30%)</t>
  </si>
  <si>
    <t>It is likely (i.e., &gt; 66%) or very likely (i.e.,&gt; 90%) that the emission reductions or removals are overestimated, and the degree of overestimation is likely to be large (i.e., larger than ±30%)</t>
  </si>
  <si>
    <t>Score for criterion 1.3</t>
  </si>
  <si>
    <t>Overall score for quality objective 1</t>
  </si>
  <si>
    <t>QUALITY OBJECTIVE 2: AVOIDING DOUBLE COUNTNG OF EMISSION REDUCTIONS OR REMOVALS</t>
  </si>
  <si>
    <t>Criterion 2.1: Robust registry and project database systems</t>
  </si>
  <si>
    <t>2.1.1</t>
  </si>
  <si>
    <t>Registry capable of securely effectuating the issuance, transfer, and cancellation of carbon credits</t>
  </si>
  <si>
    <t>2.1.2</t>
  </si>
  <si>
    <t>Carbon credits tagged with unique identifier and each credit associated with a specific issuance</t>
  </si>
  <si>
    <t>2.1.3</t>
  </si>
  <si>
    <t>Procedures in place to identify the owner of a carbon credit</t>
  </si>
  <si>
    <t>2.1.4</t>
  </si>
  <si>
    <t>a. Project</t>
  </si>
  <si>
    <t>b. Host country</t>
  </si>
  <si>
    <t>c. Credit status</t>
  </si>
  <si>
    <t>2.1.5</t>
  </si>
  <si>
    <t>Provisions in place that identify for each carbon credit the period in which the emission reductions or removals occurred</t>
  </si>
  <si>
    <t>2.1.6</t>
  </si>
  <si>
    <t>The program administers a publicly accessible, transparent and easily searchable project database</t>
  </si>
  <si>
    <t xml:space="preserve">The database makes the following information available: </t>
  </si>
  <si>
    <t>a. Project description</t>
  </si>
  <si>
    <t>b. Emission sources, sinks, and greenhouse gases, along with the location(s)</t>
  </si>
  <si>
    <t>c. Country and geographical location</t>
  </si>
  <si>
    <t>d. Project owners</t>
  </si>
  <si>
    <t>Score for criterion 2.1</t>
  </si>
  <si>
    <t>Criterion 2.2: Avoiding double issuance</t>
  </si>
  <si>
    <t>Sub-criterion 2.2.1: Avoiding double issuance due to double registration</t>
  </si>
  <si>
    <t>2.2.1.1</t>
  </si>
  <si>
    <t>Provisions in place to manage the transition of projects from one to another program</t>
  </si>
  <si>
    <t>2.2.1.2</t>
  </si>
  <si>
    <t>Legal attestations from project owners required that they will not request issuance from more than one program</t>
  </si>
  <si>
    <t>2.2.1.3</t>
  </si>
  <si>
    <t>Checks by the program or VVB that already registered projects have not, and will not, be issued carbon credits in any other programs (unless the credits have been cancelled)</t>
  </si>
  <si>
    <t>Score for sub-criterion 2.2.1</t>
  </si>
  <si>
    <t>Sub-criterion 2.2.2: Avoiding indirect overlaps between projects</t>
  </si>
  <si>
    <t>Project type with potential indirect overlaps between projects?</t>
  </si>
  <si>
    <t>Program’s procedures to address risk of indirect overlaps</t>
  </si>
  <si>
    <t>Provisions that avoid overlaps between projects registered within the program and under other programs</t>
  </si>
  <si>
    <t>Only crediting of projects for which overlaps are very unlikely to occur</t>
  </si>
  <si>
    <r>
      <t xml:space="preserve">Provisions that avoid overlaps between projects registered within the program </t>
    </r>
    <r>
      <rPr>
        <i/>
        <sz val="12"/>
        <color theme="1"/>
        <rFont val="Calibri"/>
        <family val="2"/>
        <scheme val="minor"/>
      </rPr>
      <t>and</t>
    </r>
    <r>
      <rPr>
        <sz val="12"/>
        <color theme="1"/>
        <rFont val="Calibri"/>
        <family val="2"/>
        <scheme val="minor"/>
      </rPr>
      <t xml:space="preserve"> under other programs</t>
    </r>
  </si>
  <si>
    <t>Provisions that avoid overlaps between projects registered within the same program</t>
  </si>
  <si>
    <t>No robust provisions to avoid indirect overlaps</t>
  </si>
  <si>
    <t>Score for sub-criterion 2.2.2</t>
  </si>
  <si>
    <t>Score for criterion 2.2</t>
  </si>
  <si>
    <t>Criterion 2.3: Avoiding double use</t>
  </si>
  <si>
    <t>2.3.1</t>
  </si>
  <si>
    <t>Registry system has functionalities to document the purposes for which credits are used</t>
  </si>
  <si>
    <t>2.3.2</t>
  </si>
  <si>
    <t>In relation to a cancellation, carbon credit users are required to specify:</t>
  </si>
  <si>
    <t>a. Voluntary goal / requirement achieved through the cancellation of credits</t>
  </si>
  <si>
    <t>b. Beneficiary</t>
  </si>
  <si>
    <t xml:space="preserve">c. Calendar year(s) for which voluntary goals or requirements are achieved </t>
  </si>
  <si>
    <t>2.3.3</t>
  </si>
  <si>
    <t>Which provision for providing information on cancellation applies?</t>
  </si>
  <si>
    <t>Score for criterion 2.3</t>
  </si>
  <si>
    <t>Criterion 2.4: Avoiding double claiming</t>
  </si>
  <si>
    <t>Are the carbon credits used for purposes for which double claiming with the host country NDC should be avoided?</t>
  </si>
  <si>
    <t>Sub-criterion 2.4.1: Host country provisions for avoiding double claiming with its NDC</t>
  </si>
  <si>
    <t>(Only applicable to carbon credits for which double claiming with the host country NDC should be avoided)</t>
  </si>
  <si>
    <t>Is sub-criterion 2.4.1 applied?</t>
  </si>
  <si>
    <t>2.4.1.1</t>
  </si>
  <si>
    <t>Country has quantified / has provided a methodology to quantify the NDC</t>
  </si>
  <si>
    <t>2.4.1.2</t>
  </si>
  <si>
    <t>Coverage of the NDC has been unambigioulsy clarified in GHG emissions metrics</t>
  </si>
  <si>
    <t>2.4.1.3</t>
  </si>
  <si>
    <t>NDC target is an emission reduction compared to an historical reference year or a deviation from a BAU emissions projection</t>
  </si>
  <si>
    <t>2.4.1.4</t>
  </si>
  <si>
    <t>Consideration of all mitigation information in quantifying the NDC in tCO2e</t>
  </si>
  <si>
    <t>2.4.1.5</t>
  </si>
  <si>
    <t>Accounting for single- or multi-year targets: which situation applies?</t>
  </si>
  <si>
    <t>Single-year target with multi-year trajectory or budget</t>
  </si>
  <si>
    <t>2.4.1.6</t>
  </si>
  <si>
    <t>GWP values and metrics used in accounting for the NDC consistent with those used to issue credits</t>
  </si>
  <si>
    <t>2.4.1.7</t>
  </si>
  <si>
    <t>Domestic institutional arrangements and processes in place for authorizing emission reductions or removals for use as ITMOs</t>
  </si>
  <si>
    <t>2.4.1.8</t>
  </si>
  <si>
    <t>These include effective measures to manage compliance with the NDC</t>
  </si>
  <si>
    <t>2.4.1.9</t>
  </si>
  <si>
    <t>Institutional arrangements and processes in place for tracking ITMOs</t>
  </si>
  <si>
    <t>2.4.1.10</t>
  </si>
  <si>
    <t>Relevant part of GHG emissions inventory selected as indicator to track progress towards NDC</t>
  </si>
  <si>
    <t>2.4.1.11</t>
  </si>
  <si>
    <t>Initial report has been communicated, in line with decisions under the PA</t>
  </si>
  <si>
    <t>2.4.1.12</t>
  </si>
  <si>
    <t>Institutional arrangements and processes in place for reporting, in line with the PA</t>
  </si>
  <si>
    <t>2.4.1.13</t>
  </si>
  <si>
    <t>The most recent annual and regular reports are complete and appropriately detailed</t>
  </si>
  <si>
    <t>2.4.1.14</t>
  </si>
  <si>
    <t xml:space="preserve">Issues of non-implementation are observed </t>
  </si>
  <si>
    <t>Score for sub-criterion 2.4.1</t>
  </si>
  <si>
    <t>Sub-criterion 2.4.2: Carbon crediting program provisions for avoiding double claiming with NDCs</t>
  </si>
  <si>
    <t>2.4.2.1</t>
  </si>
  <si>
    <t>The program does not allow registering multi-country projects or it has established provisions to identify for each carbon credit the relevant host country, through an attribute to each issued credit</t>
  </si>
  <si>
    <t>2.4.2.2</t>
  </si>
  <si>
    <t>The program does not allow registering projects that are implemented in one country but may (partially) reduce emissions or enhance removals in other countries or it has established provisions to identify whether such situations occur and, if yes, to identify in which country each carbon credit’s associated emission reductions or removals occurred.</t>
  </si>
  <si>
    <t>2.4.2.3</t>
  </si>
  <si>
    <t>Which provision applies for identifying for each carbon credit the calendar year in which the emission reductions or removals occurred?</t>
  </si>
  <si>
    <t>Mandatory identification of calendar year</t>
  </si>
  <si>
    <t>In addition, provisions are in place to allocate carbon credits proportionally to calendar years</t>
  </si>
  <si>
    <t>2.4.2.4</t>
  </si>
  <si>
    <t>Provisions in place to obtain and report Article 6 authorizations from host countries</t>
  </si>
  <si>
    <t>2.4.2.6</t>
  </si>
  <si>
    <t>Provisions in place for reporting information on authorized carbon credits to host country</t>
  </si>
  <si>
    <t>2.4.2.7</t>
  </si>
  <si>
    <t xml:space="preserve">Provisions in place to obtain evidence of the appropriate application of adjustments </t>
  </si>
  <si>
    <t>2.4.2.8</t>
  </si>
  <si>
    <t>Provisions in place to qualify and earmark credits as eligible for uses for which double claiming with the host country NDC needs to be avoided</t>
  </si>
  <si>
    <t>2.4.2.9</t>
  </si>
  <si>
    <t>Provisions in place to cease qualifying and earmarking carbon credits as eligible for uses for which double claiming with the host country NDC needs to be avoided in the event that evidence for the appropriate application of corresponding adjustments cannot be obtained</t>
  </si>
  <si>
    <t>2.4.2.10</t>
  </si>
  <si>
    <t>Robust provisions in place for replacing carbon credits for which the evidence of the appropriate application of corresponding adjustments cannot be provided</t>
  </si>
  <si>
    <t>2.4.2.11</t>
  </si>
  <si>
    <t>The registry and project database system provides the following information:</t>
  </si>
  <si>
    <t>a. Country where emission reductions or removals occurred</t>
  </si>
  <si>
    <t>b. Whether Article 6 authorization has been obtained</t>
  </si>
  <si>
    <t>c. Whether "first transfer" has occurred</t>
  </si>
  <si>
    <t xml:space="preserve">d. Whether the country has applied the necessary corresponding adjustment </t>
  </si>
  <si>
    <t>e. Whether the credit has been earmarked as eligible for uses for which double claiming with the host country NDC needs to be avoided</t>
  </si>
  <si>
    <t>Score for sub-criterion 2.4.2</t>
  </si>
  <si>
    <t>Sub-criterion 2.4.3: Avoiding double claiming with mandatory domestic mitigation schemes</t>
  </si>
  <si>
    <t>Project type with material risks of overlapping with domestic mitigation schemes?</t>
  </si>
  <si>
    <t>Program provisions for avoiding indirect overlaps between projects</t>
  </si>
  <si>
    <t>Provisions ensuring that that the project’s impacts are not counted towards the achievement of domestic targets</t>
  </si>
  <si>
    <t>Provisions that do not allow registering projects or issuing carbon credits that overlap with mandatory domestic mitigation schemes</t>
  </si>
  <si>
    <t>Provisions that address overlap with ETSs but no provisions to address overlap with other types of mandatory domestic mitigation schemes</t>
  </si>
  <si>
    <t>No provisions to address overlap with mandatory domestic mitigation schemes</t>
  </si>
  <si>
    <t>Score for sub-criterion 2.4.3</t>
  </si>
  <si>
    <t>Score for criterion 2.4</t>
  </si>
  <si>
    <t>Overall score for quality objective 2</t>
  </si>
  <si>
    <t>QUALITY OBJECTIVE 3: ADDRESSING NON-PERMANENCE</t>
  </si>
  <si>
    <t>Criterion 3.1: Significance of non-permanence risks</t>
  </si>
  <si>
    <t>Mitigation activity with material non-permanence risks?</t>
  </si>
  <si>
    <t>Criterion 3.2: Robustness of the carbon crediting program's approaches for addressing non-permanence risks</t>
  </si>
  <si>
    <t>Sub-criterion 3.2.1: Approaches for accounting and compensating for reversals (Approach 1)</t>
  </si>
  <si>
    <t>Which approach for accounting and compensating for reversals is employed?</t>
  </si>
  <si>
    <t>Monitoring and compensation for reversals (Approach 1b)</t>
  </si>
  <si>
    <t>Temporary carbon credits (Approach 1a)</t>
  </si>
  <si>
    <t>Discounting (Approach 1c)</t>
  </si>
  <si>
    <t>N/A</t>
  </si>
  <si>
    <t>Approach 1a: Temporary credits</t>
  </si>
  <si>
    <t>Are procedures and governance arrangements in place to ensure the replacement of temporary carbon credits following their expiry?</t>
  </si>
  <si>
    <t>Score for Approach 1a</t>
  </si>
  <si>
    <t>Approach 1b: Monitoring and compensating for reversals</t>
  </si>
  <si>
    <t>Indicator 3.2.1.1: Time-horizon for monitoring reversals</t>
  </si>
  <si>
    <t>Minimum period for which monitoring, and reporting of reversals is required:</t>
  </si>
  <si>
    <t>100 years or longer</t>
  </si>
  <si>
    <t>Indicator 3.2.1.2: Addressing potential reversals in case of discontinuation of monitoring prior to the required time horizon</t>
  </si>
  <si>
    <t>Provisions to address the risk of reversals in case of discontinuation of monitoring</t>
  </si>
  <si>
    <t>All carbon credits previously issued must be compensated for within 1 year after the monitoring or verification report was due</t>
  </si>
  <si>
    <t>Indicator 3.2.1.3: Treatment of carbon credits held in a buffer reserve after the end of regular monitoring</t>
  </si>
  <si>
    <t>Provisions to address potential reversals after the end of regular monitoring</t>
  </si>
  <si>
    <t>Credits held in a buffer reserve stay in the reserve without retiring them</t>
  </si>
  <si>
    <t>Indicator 3.2.1.4: Type of reversals that require compensation</t>
  </si>
  <si>
    <t>Types of reversals that require compensation</t>
  </si>
  <si>
    <t>All types of reversals must be compensated for</t>
  </si>
  <si>
    <t>Indicator 3.2.1.5 Robustness of the approach for compensating for reversals</t>
  </si>
  <si>
    <t>Sub-indicator</t>
  </si>
  <si>
    <t>3.2.1.5.1</t>
  </si>
  <si>
    <t>Project owners are responsible entity for compensating for intentional/ all reversals</t>
  </si>
  <si>
    <t>3.2.1.5.2</t>
  </si>
  <si>
    <t>Which provisions are in place to facilitate compensation by project owners?</t>
  </si>
  <si>
    <t>Both of these provisions are implemented</t>
  </si>
  <si>
    <t>3.2.1.5.3</t>
  </si>
  <si>
    <t>Provisions ensuring compensation in case project owners do not fulfil their obligation for compensating for reversals</t>
  </si>
  <si>
    <t>3.2.1.5.4</t>
  </si>
  <si>
    <t>Use of pooled buffer reserve to compensate for reversals</t>
  </si>
  <si>
    <t>3.2.1.5.5</t>
  </si>
  <si>
    <t>Average percentage points of credits put in the pooled buffer reserve?</t>
  </si>
  <si>
    <t>3.2.1.5.6</t>
  </si>
  <si>
    <t>Project-specific risk assessment to determine the fraction of credits put in the pooled buffer reserve</t>
  </si>
  <si>
    <t>3.2.1.5.7</t>
  </si>
  <si>
    <t>Number of projects contributing to the reserve</t>
  </si>
  <si>
    <t>3.2.1.5.8</t>
  </si>
  <si>
    <t>Number of regions from which projects contribute to reserve</t>
  </si>
  <si>
    <t>3.2.1.5.9</t>
  </si>
  <si>
    <t>Percentage points of credits that the largest three projects represent</t>
  </si>
  <si>
    <t>3.2.1.5.10</t>
  </si>
  <si>
    <t>Continued operation of the pooled buffer reserve is ensured</t>
  </si>
  <si>
    <t>3.2.1.5.11</t>
  </si>
  <si>
    <t>Fraction of pooled buffer-credits from projects with no non-permanence risk:</t>
  </si>
  <si>
    <t>NA</t>
  </si>
  <si>
    <t>3.2.1.5.12</t>
  </si>
  <si>
    <t>Non-pooled buffer is in place</t>
  </si>
  <si>
    <t>3.2.1.5.13</t>
  </si>
  <si>
    <t>Percentage points of credits put in the non-pooled buffer reserve?</t>
  </si>
  <si>
    <t>3.2.1.5.14</t>
  </si>
  <si>
    <t>Continued operation of the non-pooled buffer reserve is ensured</t>
  </si>
  <si>
    <t>3.2.1.5.15</t>
  </si>
  <si>
    <t>Obligation to insure risks associated with the compensation for reversals</t>
  </si>
  <si>
    <t>3.2.1.5.16</t>
  </si>
  <si>
    <t>Clear conditions for what type of insurance is considered sufficient</t>
  </si>
  <si>
    <t>Indicator 3.2.1.6: Possibility to update the baseline in the case of reversals</t>
  </si>
  <si>
    <t>Provisions for updating the baseline in the case of reversals</t>
  </si>
  <si>
    <t>Adjusting the baseline upwards in the case of reversals is allowed or required (to the same extent as the reversals that occurred)</t>
  </si>
  <si>
    <t>Score for Approach 1b</t>
  </si>
  <si>
    <t>Approach 1c: Discounting</t>
  </si>
  <si>
    <t>Score for Approach 1c</t>
  </si>
  <si>
    <t>Score for Sub-criterion 3.2.1</t>
  </si>
  <si>
    <t>Sub-criterion 3.2.2:  Approaches for avoiding or reducing non-permanence risks (Approach 2)</t>
  </si>
  <si>
    <t>Does the program apply any approaches for avoiding or reducing non-permanence risks (Approach 2)?</t>
  </si>
  <si>
    <t>3.2.2.1</t>
  </si>
  <si>
    <t>The program requires a risk assessment of the specific project</t>
  </si>
  <si>
    <t>3.2.2.2</t>
  </si>
  <si>
    <t>Risk assessment follows a pre-defined methodology consistent with the indicator</t>
  </si>
  <si>
    <t>3.2.2.3</t>
  </si>
  <si>
    <t>The application of the risk assessment is validated by v&amp;v entities</t>
  </si>
  <si>
    <t>3.2.2.4</t>
  </si>
  <si>
    <t>Use of risk assessment to exclude from projects with unaddressed reversal risk</t>
  </si>
  <si>
    <t>3.2.2.5</t>
  </si>
  <si>
    <t>Project owners are required to update the risk assessment in case of reversals</t>
  </si>
  <si>
    <t>3.2.2.6</t>
  </si>
  <si>
    <t>Project owners are required to have legal titles to the land and/or relevant carbon reservoirs on the land, or legally binding agreements require the project owner’s consent to undertake measures that may lead to intentional reversals</t>
  </si>
  <si>
    <t>3.2.2.7</t>
  </si>
  <si>
    <t xml:space="preserve">Measures to restrict land management practices that would result in reversals </t>
  </si>
  <si>
    <t>Score for sub-criterion 3.2.2</t>
  </si>
  <si>
    <t>Overall score for quality objective 3</t>
  </si>
  <si>
    <t>QUALITY OBJECTIVE 4: FACILITATING TRANSITION TOWARDS NET ZERO EMISSIONS</t>
  </si>
  <si>
    <t>Criterion 4.1: Enhancing adoption of low, zero or negative emissions technologies and practices</t>
  </si>
  <si>
    <t>Which technologies or practices does the project employ?</t>
  </si>
  <si>
    <t>Direct air carbon capture and storage</t>
  </si>
  <si>
    <t>Spalte1</t>
  </si>
  <si>
    <t>Afforestation, reforestation and restoration</t>
  </si>
  <si>
    <t>Cement production with renewable energy sources combined with carbon capture and storage</t>
  </si>
  <si>
    <t>Fuel switching to zero-emitting technology</t>
  </si>
  <si>
    <t>Change in practice or components along the process or production cycle leading to change from high to zero emissions</t>
  </si>
  <si>
    <t>Zero emissions renewable energy generation</t>
  </si>
  <si>
    <t>Highly efficient demand side technology</t>
  </si>
  <si>
    <t>Battery or pump storage enabling greater renewable electricity generation</t>
  </si>
  <si>
    <t>Recycling of waste</t>
  </si>
  <si>
    <t>Composting of organic waste</t>
  </si>
  <si>
    <t>Reducing emissions from deforestation and degradation</t>
  </si>
  <si>
    <t>Bioenergy with carbon capture and storage</t>
  </si>
  <si>
    <t>Use of biomass residues or other forms of sustainable/renewable biomass using best available technology</t>
  </si>
  <si>
    <t>Efficient demand side technology</t>
  </si>
  <si>
    <t>Use of landfill gas from closed landfills for energy generation</t>
  </si>
  <si>
    <t>Fuel switching to a less carbon intensive fossil fuel</t>
  </si>
  <si>
    <t>Carbon capture and utilization</t>
  </si>
  <si>
    <t>Use of landfill gas from open landfills for energy generation</t>
  </si>
  <si>
    <t>Waste to energy</t>
  </si>
  <si>
    <t>Landfill gas flaring</t>
  </si>
  <si>
    <t>Use of hydrogen from fossil fuel sources combined with carbon capture and storage (CCS)</t>
  </si>
  <si>
    <t>Carbon capture and storage (CCS) from fossil fuel fired power plants</t>
  </si>
  <si>
    <t>Greenfields natural gas power plants</t>
  </si>
  <si>
    <t>Overall score for quality objective 4</t>
  </si>
  <si>
    <t>Criterion 5.1: Overall program governance</t>
  </si>
  <si>
    <t>5.1.1</t>
  </si>
  <si>
    <t>5.1.2</t>
  </si>
  <si>
    <t>Contact details for secretariat available on the program´s website</t>
  </si>
  <si>
    <t>5.1.3</t>
  </si>
  <si>
    <t>5.1.4</t>
  </si>
  <si>
    <t>The program is overseen by Board of Directors or Trustees</t>
  </si>
  <si>
    <t>5.1.5</t>
  </si>
  <si>
    <t>5.1.6</t>
  </si>
  <si>
    <t>5.1.7</t>
  </si>
  <si>
    <t>5.1.8</t>
  </si>
  <si>
    <t>5.1.9</t>
  </si>
  <si>
    <t>5.1.10</t>
  </si>
  <si>
    <t>Material program updates are developed with the participation of experts</t>
  </si>
  <si>
    <t>5.1.11</t>
  </si>
  <si>
    <t>5.1.12</t>
  </si>
  <si>
    <t>5.1.13</t>
  </si>
  <si>
    <t>5.1.14</t>
  </si>
  <si>
    <t>5.1.15</t>
  </si>
  <si>
    <t>Score for criterion 5.1</t>
  </si>
  <si>
    <t>Criterion 5.2: Transparency</t>
  </si>
  <si>
    <t>5.2.1</t>
  </si>
  <si>
    <t>Names and affiliations of non-staff individuals are made publicly available</t>
  </si>
  <si>
    <t>5.2.2</t>
  </si>
  <si>
    <t>Minutes of Board meetings are made publicly available</t>
  </si>
  <si>
    <t>5.2.3</t>
  </si>
  <si>
    <t>5.2.4</t>
  </si>
  <si>
    <t>Level and scope of eligible mitigation activities are defined and publicly disclosed</t>
  </si>
  <si>
    <t>5.2.5</t>
  </si>
  <si>
    <t>Normative program documents are made publicly available</t>
  </si>
  <si>
    <t>5.2.6</t>
  </si>
  <si>
    <t>5.2.7</t>
  </si>
  <si>
    <t>5.2.8</t>
  </si>
  <si>
    <t>5.2.9</t>
  </si>
  <si>
    <t>5.2.10</t>
  </si>
  <si>
    <t>Score for criterion 5.2</t>
  </si>
  <si>
    <t>Criterion 5.3: Robust third-party auditing</t>
  </si>
  <si>
    <t>5.3.1</t>
  </si>
  <si>
    <t>5.3.2</t>
  </si>
  <si>
    <t>5.3.3</t>
  </si>
  <si>
    <t>5.3.4</t>
  </si>
  <si>
    <t>5.3.5</t>
  </si>
  <si>
    <t>5.3.6</t>
  </si>
  <si>
    <t>5.3.7</t>
  </si>
  <si>
    <t>5.3.8</t>
  </si>
  <si>
    <t>5.3.9</t>
  </si>
  <si>
    <t>5.3.10</t>
  </si>
  <si>
    <t>Score for criterion 5.3</t>
  </si>
  <si>
    <t>Overall score for quality objective 5</t>
  </si>
  <si>
    <t>Criterion 6.1: Robustness of the carbon crediting program's environmental and social safeguards</t>
  </si>
  <si>
    <t>6.1.1</t>
  </si>
  <si>
    <t>Project owners must identify and mitigate potential negative environmental and social impacts</t>
  </si>
  <si>
    <t>6.1.2</t>
  </si>
  <si>
    <t>Definition of the types of environmental and social impacts that the project owners must identify and mitigate</t>
  </si>
  <si>
    <t>6.1.3</t>
  </si>
  <si>
    <t>Project owners must assign roles and responsibilities for managing environmental and social risks of the project</t>
  </si>
  <si>
    <t>6.1.4</t>
  </si>
  <si>
    <t>Assessment of the project owner´s institutional arrangements and capacities to identify and manage environmental and social risks</t>
  </si>
  <si>
    <t>6.1.5</t>
  </si>
  <si>
    <t>Project owners must identify and adhere to any relevant national or local legal requirements</t>
  </si>
  <si>
    <t>6.1.6</t>
  </si>
  <si>
    <t>Requirement to disclose all relevant information from the environmental or social impacts evaluation and any relevant or required Environmental Impact Assessments</t>
  </si>
  <si>
    <t>6.1.7</t>
  </si>
  <si>
    <t>V&amp;v entity must validate the evaluation of social and environmental impacts prior to registration</t>
  </si>
  <si>
    <t>6.1.8</t>
  </si>
  <si>
    <t>Requirement of a follow-up on any potential negative impacts identified in the social and environmental impacts evaluation prior to registration</t>
  </si>
  <si>
    <t>6.1.9</t>
  </si>
  <si>
    <t>Social and economic impacts must be monitored throughout the crediting periods of the project</t>
  </si>
  <si>
    <t>6.1.10</t>
  </si>
  <si>
    <t>Project owners must establish an environmental and social management plan, at least for projects with high environmental and social risks</t>
  </si>
  <si>
    <t>6.1.11</t>
  </si>
  <si>
    <t>A grievance mechanism is in place that allows local stakeholders to submit grievances throughout the lifetime of the project</t>
  </si>
  <si>
    <t>6.1.12</t>
  </si>
  <si>
    <t xml:space="preserve">Project owners are required to have a culturally appropriate grievance mechanism </t>
  </si>
  <si>
    <t>6.1.13</t>
  </si>
  <si>
    <t>The grievance mechanism must enable to make anonymous complaints</t>
  </si>
  <si>
    <t>6.1.14</t>
  </si>
  <si>
    <t>Grievances must be responded to within a specific response time</t>
  </si>
  <si>
    <t>6.1.15</t>
  </si>
  <si>
    <t>Project owners must conduct an assessment of which local stakeholders will be impacted by the project</t>
  </si>
  <si>
    <t>6.1.16</t>
  </si>
  <si>
    <t>Requirement to identify local stakeholders that hold any legal or customary tenure or access rights to the land (at least for projects affecting land use)</t>
  </si>
  <si>
    <t>6.1.17</t>
  </si>
  <si>
    <t xml:space="preserve">Project owners must conduct a local stakeholder consultation that is inclusive and culturally appropriate for local communities </t>
  </si>
  <si>
    <t>6.1.18</t>
  </si>
  <si>
    <t>Local stakeholder consultation must be conducted before the decision to proceed with the project and before validation</t>
  </si>
  <si>
    <t>6.1.19</t>
  </si>
  <si>
    <t>Project owners must take due account of any input received in the local stakeholder consultation and publicly document how inputs are addressed</t>
  </si>
  <si>
    <t>6.1.20</t>
  </si>
  <si>
    <t>A v&amp;v entity must assess whether the project owners have taken due account of all inputs received</t>
  </si>
  <si>
    <t>6.1.21</t>
  </si>
  <si>
    <t>Project owners must make key information on the project available to local stakeholders prior to conducting the local stakeholder consultation</t>
  </si>
  <si>
    <t>6.1.22</t>
  </si>
  <si>
    <t xml:space="preserve">The program requires free, prior and informed consent if indigenous, tribal or traditional people are directly affected by a project </t>
  </si>
  <si>
    <t>6.1.23</t>
  </si>
  <si>
    <t>Project owners must establish appropriate mechanisms for ongoing communication with local stakeholders and take due account of input received</t>
  </si>
  <si>
    <t>6.1.24</t>
  </si>
  <si>
    <t>A record of how issues have been addressed must be made publicly available</t>
  </si>
  <si>
    <t>6.1.25</t>
  </si>
  <si>
    <t>V&amp;v entities must contact and engage with local stakeholders during validation</t>
  </si>
  <si>
    <t>6.1.26</t>
  </si>
  <si>
    <t>Projects must be subject to public consultation on the global level via online facilities prior to project registration</t>
  </si>
  <si>
    <t>6.1.27</t>
  </si>
  <si>
    <t>Global public consultations must make available key information on the project</t>
  </si>
  <si>
    <t>6.1.28</t>
  </si>
  <si>
    <t>Input received through global public consultations must be publicly documented, project owners must take due account of the inputs received, and must publicly document how inputs are addressed</t>
  </si>
  <si>
    <t>6.1.29</t>
  </si>
  <si>
    <t>6.1.30</t>
  </si>
  <si>
    <t>The program provisions allow the public to submit comments about a project at any time during project operation</t>
  </si>
  <si>
    <t>6.1.31</t>
  </si>
  <si>
    <t>The program provisions ban any violation of human rights by the project owner or any other involved entity</t>
  </si>
  <si>
    <t>6.1.32</t>
  </si>
  <si>
    <t>Safeguards in place that require preserving and protecting cultural heritage</t>
  </si>
  <si>
    <t>6.1.33</t>
  </si>
  <si>
    <t>Safeguards in place that at least address the need to avoid or minimize the risks and impacts to (community) health, safety and security</t>
  </si>
  <si>
    <t>6.1.34</t>
  </si>
  <si>
    <t>Projects must avoid physical and economic displacement, and where this is not possible, displacement must only occur with appropriate forms of legal protection and compensation, and informed participation of those affected</t>
  </si>
  <si>
    <t>6.1.35</t>
  </si>
  <si>
    <t>Labour rights safeguards are in place requiring projects to ensure decent and safe working conditions, fair treatment, sound worker-management relationships and equal opportunities for worker</t>
  </si>
  <si>
    <t>6.1.36</t>
  </si>
  <si>
    <t>Environmental safeguards are in place addressing air pollution, water pollution, soil and land protection, waste management, and biodiversity</t>
  </si>
  <si>
    <t>6.1.37</t>
  </si>
  <si>
    <t>6.1.38</t>
  </si>
  <si>
    <t>6.1.39</t>
  </si>
  <si>
    <t>6.1.40</t>
  </si>
  <si>
    <t>6.1.41</t>
  </si>
  <si>
    <t>6.1.42</t>
  </si>
  <si>
    <t>Stakeholder consultations are conducted in a gender-sensitive manner, enabling equal participation</t>
  </si>
  <si>
    <t>6.1.43</t>
  </si>
  <si>
    <t>Project owners must perform a gender safeguard assessment during project design</t>
  </si>
  <si>
    <t>Score for criterion 6.1</t>
  </si>
  <si>
    <t>Criterion 6.2: Sustainable development impacts of the project type or project</t>
  </si>
  <si>
    <t>Is the project implemented in LDCs or SIDS?</t>
  </si>
  <si>
    <t>SDG-Goal</t>
  </si>
  <si>
    <t>Goal 1: No Poverty</t>
  </si>
  <si>
    <t>Indivisible impact (3 points)</t>
  </si>
  <si>
    <t>Goal 2: Zero Hunger</t>
  </si>
  <si>
    <t>Goal 3: Good Health and Well-being</t>
  </si>
  <si>
    <t>Goal 4: Quality Education</t>
  </si>
  <si>
    <t>Goal 5: Gender Equality</t>
  </si>
  <si>
    <t>Goal 6: Clean Water and Sanitation</t>
  </si>
  <si>
    <t>Goal 7: Affordable and Clean Energy</t>
  </si>
  <si>
    <t>Goal 8: Decent Work and Economic Growth</t>
  </si>
  <si>
    <t>Goal 9: Industry, Innovation and Infrastructure</t>
  </si>
  <si>
    <t>Goal 10: Reduced Inequality</t>
  </si>
  <si>
    <t>Goal 11: Sustainable Cities and Communities</t>
  </si>
  <si>
    <t>Goal 12: Responsible Consumption and Production</t>
  </si>
  <si>
    <t>Goal 14: Life Below Water</t>
  </si>
  <si>
    <t>Goal 15: Life on Land</t>
  </si>
  <si>
    <t>Goal 16: Peace and Justice Strong Institutions</t>
  </si>
  <si>
    <t>Goal 17: Partnerships to achieve the Goal</t>
  </si>
  <si>
    <t>Score for criterion 6.2</t>
  </si>
  <si>
    <t>Criterion 6.3: Contribution to improving adaptation and resilience (optional)</t>
  </si>
  <si>
    <t xml:space="preserve">Is criterion 6.3 applied? </t>
  </si>
  <si>
    <t>A&amp;R impacts on building adaptive capacity</t>
  </si>
  <si>
    <t>Has direct positive A&amp;R impacts (high impact)</t>
  </si>
  <si>
    <t xml:space="preserve">Reinforces positive A&amp;R impacts </t>
  </si>
  <si>
    <t>Enables positive A&amp;R impacts</t>
  </si>
  <si>
    <t>Does not have A&amp;R impacts</t>
  </si>
  <si>
    <t>Constrains A&amp;R advancement</t>
  </si>
  <si>
    <t xml:space="preserve">Counteracts A&amp;R advancement </t>
  </si>
  <si>
    <t>Has indisputable negative A&amp;R impacts (high impact)</t>
  </si>
  <si>
    <t>A&amp;R impacts on reducing identified risks/vulnerabilities</t>
  </si>
  <si>
    <t>A&amp;R impacts on successful development in spite of climate change</t>
  </si>
  <si>
    <t>Score for criterion 6.3</t>
  </si>
  <si>
    <t>Overall score for quality objective 6</t>
  </si>
  <si>
    <t>Criterion 7.1: Host country commitment to the global temperature goal</t>
  </si>
  <si>
    <t>7.1.1</t>
  </si>
  <si>
    <t>The country has communicated a LEDS</t>
  </si>
  <si>
    <t>7.1.2</t>
  </si>
  <si>
    <t xml:space="preserve">a. The country is an LDC and has adopted a net zero emissions target for </t>
  </si>
  <si>
    <t>2050 or earlier</t>
  </si>
  <si>
    <t>2051 to 2069</t>
  </si>
  <si>
    <t>2070 or later</t>
  </si>
  <si>
    <t>OR</t>
  </si>
  <si>
    <r>
      <t xml:space="preserve">b. The country is </t>
    </r>
    <r>
      <rPr>
        <i/>
        <sz val="12"/>
        <color theme="1"/>
        <rFont val="Calibri"/>
        <family val="2"/>
        <scheme val="minor"/>
      </rPr>
      <t>not</t>
    </r>
    <r>
      <rPr>
        <sz val="12"/>
        <color theme="1"/>
        <rFont val="Calibri"/>
        <family val="2"/>
        <scheme val="minor"/>
      </rPr>
      <t xml:space="preserve"> an LDC and has adopted a net zero emissions target for</t>
    </r>
  </si>
  <si>
    <t>2040 or earlier</t>
  </si>
  <si>
    <t>2041 to 2059</t>
  </si>
  <si>
    <t>2060 or later</t>
  </si>
  <si>
    <t>7.1.3</t>
  </si>
  <si>
    <t>The adopted net zero emissions targets covers</t>
  </si>
  <si>
    <t>no information is available or it is insufficiently clear</t>
  </si>
  <si>
    <t>all sectors of the economy, including international aviation and shipping, and all main greenhouse gases</t>
  </si>
  <si>
    <t>at least 90% of the country’s GHG emissions</t>
  </si>
  <si>
    <t>less than 90% of the country’s GHG emissions</t>
  </si>
  <si>
    <t>7.1.4</t>
  </si>
  <si>
    <t>The adopted net zero emissions target is</t>
  </si>
  <si>
    <t>a target to be achieved with the purchase of international carbon credits</t>
  </si>
  <si>
    <t xml:space="preserve">a domestic target </t>
  </si>
  <si>
    <t>7.1.5</t>
  </si>
  <si>
    <t>The adopted net zero emissions target</t>
  </si>
  <si>
    <t>has only been announced or adopted by government or relevant legislative bodies but neither been communicated to the UNFCCC in the country’s NDC and/or LEDS nor been enshrined in domestic law.</t>
  </si>
  <si>
    <t>has been communicated to the UNFCCC in the country’s NDC and/or LEDS, and has been enshrined in domestic law</t>
  </si>
  <si>
    <t>has been communicated to the UNFCCC in the country’s NDC and/or LEDS, or has been enshrined in domestic law</t>
  </si>
  <si>
    <t>Score for criterion 7.1</t>
  </si>
  <si>
    <t>Criterion 7.2: Stringency and coverage of the host country’s current NDC</t>
  </si>
  <si>
    <t>Steps</t>
  </si>
  <si>
    <t>Are emission reductions/removals covered by an NDC?</t>
  </si>
  <si>
    <t>To what degree is NDC target below realistic projections of BAU emissions?</t>
  </si>
  <si>
    <t>&gt; 30%</t>
  </si>
  <si>
    <t>20-30%</t>
  </si>
  <si>
    <t>10-20%</t>
  </si>
  <si>
    <t>0-10%</t>
  </si>
  <si>
    <t>&lt; 0% (target level is less stringent than likely emissions level with current policies in place)</t>
  </si>
  <si>
    <t>Is step 3 applied?</t>
  </si>
  <si>
    <t>Are emission reductions/removals likely to be visible? (optional)</t>
  </si>
  <si>
    <t>Does the project have material non-permanence risks?</t>
  </si>
  <si>
    <t>Does the NDC fully account for natural disturbances?</t>
  </si>
  <si>
    <t>Does the NDC have a multi-year target or uses a multi-year trajectory or budget for NDC accounting purposes?</t>
  </si>
  <si>
    <t>Score for criterion 7.2</t>
  </si>
  <si>
    <t>Criterion 7.3: Ability of the carbon crediting approach to enable the host country to use part of the emission reductions to achieve its own NDC</t>
  </si>
  <si>
    <t>Is criterion 7.3 applied?</t>
  </si>
  <si>
    <t>Fraction of the emission reductions or removals that can be used by the host country to achieve its own NDC</t>
  </si>
  <si>
    <t>&gt; 50%</t>
  </si>
  <si>
    <t>30-50%</t>
  </si>
  <si>
    <t>10-30%</t>
  </si>
  <si>
    <t>None</t>
  </si>
  <si>
    <t>Overall score for quality objective 7</t>
  </si>
  <si>
    <t>Indicator 3.2.1.2</t>
  </si>
  <si>
    <t>All carbon credits previously issued must be compensated for, with a grace period longer than 1 year after the monitoring or verification report was due</t>
  </si>
  <si>
    <t xml:space="preserve">Only a fraction of carbon credits (e.g., those set aside in a pooled buffer reserve) must be used to compensate for a possible reversal </t>
  </si>
  <si>
    <t>No action is required, or no time limit is indicated for compensation</t>
  </si>
  <si>
    <t>Sub-indicator 3.2.1.5</t>
  </si>
  <si>
    <t>Sub-indicator 3.2.1.5.2</t>
  </si>
  <si>
    <t>Project owners are required to sign legal agreements obligating them to monitor, report and compensate for reversals</t>
  </si>
  <si>
    <t>The program ceases the issuance of carbon credits to the project until the project owners have fully compensated for the reversals</t>
  </si>
  <si>
    <t>Indicator 3.2.1.6</t>
  </si>
  <si>
    <r>
      <t xml:space="preserve">Adjusting the baseline upwards in the case of reversals is </t>
    </r>
    <r>
      <rPr>
        <i/>
        <sz val="12"/>
        <color theme="1"/>
        <rFont val="Calibri"/>
        <family val="2"/>
        <scheme val="minor"/>
      </rPr>
      <t>not allowed</t>
    </r>
  </si>
  <si>
    <r>
      <t>Adjusting the baseline upwards in the case of reversals is allowed or required (but only to a</t>
    </r>
    <r>
      <rPr>
        <i/>
        <sz val="12"/>
        <color theme="1"/>
        <rFont val="Calibri"/>
        <family val="2"/>
        <scheme val="minor"/>
      </rPr>
      <t xml:space="preserve"> much smaller extent</t>
    </r>
    <r>
      <rPr>
        <sz val="12"/>
        <color theme="1"/>
        <rFont val="Calibri"/>
        <family val="2"/>
        <scheme val="minor"/>
      </rPr>
      <t xml:space="preserve"> than the actual reversals)</t>
    </r>
  </si>
  <si>
    <r>
      <t>Adjusting the baseline upwards in the case of reversals is allowed or required (to the</t>
    </r>
    <r>
      <rPr>
        <i/>
        <sz val="12"/>
        <color theme="1"/>
        <rFont val="Calibri"/>
        <family val="2"/>
        <scheme val="minor"/>
      </rPr>
      <t xml:space="preserve"> same extent</t>
    </r>
    <r>
      <rPr>
        <sz val="12"/>
        <color theme="1"/>
        <rFont val="Calibri"/>
        <family val="2"/>
        <scheme val="minor"/>
      </rPr>
      <t xml:space="preserve"> as the reversals that occurred)</t>
    </r>
  </si>
  <si>
    <t>wiw</t>
  </si>
  <si>
    <t>5.3.11</t>
  </si>
  <si>
    <t>Mandatory disclosure of information related to cancellation</t>
  </si>
  <si>
    <t>Registry or project database system makes relevant information on carbon credits readily available including</t>
  </si>
  <si>
    <t>Anti-corruption policies and practices with regards to obtaining Article 6 authorization are in place</t>
  </si>
  <si>
    <t>2.4.2.5</t>
  </si>
  <si>
    <t>The program has a Secretariat comprised of paid and fully employed staff that is responsible for the administration of the program</t>
  </si>
  <si>
    <t>The program defines who is responsible for the administration of the program and has procedures for decision making process in place</t>
  </si>
  <si>
    <t>All non-staff individuals are subject to conflict of interest provisions</t>
  </si>
  <si>
    <t>The program has established a code of conduct including conflict of interest provisions</t>
  </si>
  <si>
    <t>Normative program documents are developed and updated in accordance with formally defined procedures</t>
  </si>
  <si>
    <t>Material program updates are subject to public consultation and corresponding procedures are in place</t>
  </si>
  <si>
    <t xml:space="preserve">The program performs outreach to gather public input for public consultations on material program updates </t>
  </si>
  <si>
    <t>Procedures for receiving complaints and resolving disputes are in place</t>
  </si>
  <si>
    <t>Complaints and issues with program provisions are addressed and corresponding procedures are in place</t>
  </si>
  <si>
    <t>Time-bound requirements to handle disputes or complaints are in place</t>
  </si>
  <si>
    <t>No evidence of fraud on behalf of the program by current program staff</t>
  </si>
  <si>
    <t>The program has never been sanctioned for noncompliance with relevant laws and regulations</t>
  </si>
  <si>
    <t>Documentation of issues raised in public consultations and the program reports back on how issues were addressed</t>
  </si>
  <si>
    <t>The program clearly distinguishes requirements from recommendations and guidance (e.g, by applying "shall" resp. "should")</t>
  </si>
  <si>
    <t>The program's registry and project database are publicly available and provide the information specified in the indicator</t>
  </si>
  <si>
    <t>The program requires the disclosure of all non-confidential project documentation and defines "confidential" information</t>
  </si>
  <si>
    <t>Disclosure of information on the determination of the baseline scenario, additionality, or calculation of emission reduction or removals is required</t>
  </si>
  <si>
    <t xml:space="preserve">Validation and verification entities’ auditing functions extend to the review of stakeholder consultations </t>
  </si>
  <si>
    <t>Validation and verification entities are required to assess the project´s compliance with all program requirements before issuing carbon credits</t>
  </si>
  <si>
    <t xml:space="preserve">Validation and verification entities are accredited by an IAF member body or the CDM EB. Eligibility requirements are publicly available. </t>
  </si>
  <si>
    <t>Standards, procedures or guidance are in place that validation and verification entities must comply with for consistent auditing</t>
  </si>
  <si>
    <t>Rotation provisions restricting the use of the same validation and verification entity comply with the indicator</t>
  </si>
  <si>
    <t>Provisions for audit reports require the inclusion of information specified in the indicator</t>
  </si>
  <si>
    <t>Oversight procedures are in place that comly with the indicator</t>
  </si>
  <si>
    <t>Procedures for reporting non-compliances to the validation and verification entity and its accreditation body(ies) are in place</t>
  </si>
  <si>
    <t>The accreditation bodies have monitoring procedures in place to regularly assess the performance of validation and verification entities</t>
  </si>
  <si>
    <t>Procedures for quality control reviews are in place</t>
  </si>
  <si>
    <t>Procedures to apply sanctions against validation and verification entities in cases of performance issues are in place</t>
  </si>
  <si>
    <t>The program requires the establishment of a a benefits-sharing mechanism</t>
  </si>
  <si>
    <t>The program prohibits the introduction of invasive non-native species</t>
  </si>
  <si>
    <t>The program requires experts to support:</t>
  </si>
  <si>
    <t>The program prvides guidance on how to apply each of its safeguards</t>
  </si>
  <si>
    <t>Dedicated gender policy, strategy or action plan are in place</t>
  </si>
  <si>
    <t>Conflict of interest provisions and code of conduct are made publicly available</t>
  </si>
  <si>
    <t>Version 1.1</t>
  </si>
  <si>
    <t>This tool has been developed under the Carbon Credit Quality Initiative (CCQI) – a joint initiative by Environmental Defense Fund (EDF), World Wildlife Fund US (WWF-US), and Oeko-Institut. It must be used in conjunction with version 3.0 of the CCQI „Methodology for assessing the quality of carbon credits” (May 2022). Please visit the CCQI website for more information on the CCQI, the assessment methodology and its scoring system.
The purpose of this tool is to assist carbon market experts who wish to apply the CCQI methodology to individual projects or specific project types. Such self-application of the methodology requires deep expert knowledge of the carbon market and involves expert judgement. We advise other users  to refer to the CCQI website that allows browsing scorings for selected project types and carbon crediting programs. 
The tool features two sheets with the following functions:
Input Sheet: When applying the CCQI methodology, users can enter in this sheet the outcomes of the assessment for each criterion, sub-criterion, and indicator. Please note that all applicable yellow cells need to be completed. Based on the information entered, the tool automatically calculates scores for all quality objectives, criteria and sub-criteria.
Results Sheet: Summarizes the assessment outcomes of the respective carbon credit for the different quality objectives, criteria and sub-criteria.
Questions about this tool should be directed to: carboncreditqualityinitiative@gmail.com.
Disclaimer
Please refer to the Site Terms and Private Policy of CCQI.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</si>
</sst>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8"/>
      <name val="Calibri"/>
      <family val="2"/>
      <scheme val="minor"/>
    </font>
    <font>
      <sz val="11"/>
      <color rgb="FFFF0000"/>
      <name val="Calibri"/>
      <family val="2"/>
      <scheme val="minor"/>
    </font>
    <font>
      <i/>
      <sz val="12"/>
      <color theme="1"/>
      <name val="Calibri"/>
      <family val="2"/>
      <scheme val="minor"/>
    </font>
    <font>
      <b/>
      <sz val="12"/>
      <color theme="0"/>
      <name val="Calibri"/>
      <family val="2"/>
      <scheme val="minor"/>
    </font>
    <font>
      <i/>
      <sz val="11"/>
      <color theme="1"/>
      <name val="Calibri"/>
      <family val="2"/>
      <scheme val="minor"/>
    </font>
    <font>
      <sz val="12"/>
      <color rgb="FFFF0000"/>
      <name val="Calibri"/>
      <family val="2"/>
      <scheme val="minor"/>
    </font>
    <font>
      <sz val="12"/>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1"/>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style="double">
        <color indexed="64"/>
      </bottom>
      <diagonal/>
    </border>
    <border>
      <left style="thin">
        <color theme="4" tint="0.39997558519241921"/>
      </left>
      <right style="thin">
        <color theme="4" tint="0.39997558519241921"/>
      </right>
      <top style="thin">
        <color theme="4" tint="0.39997558519241921"/>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8" fillId="0" borderId="0" applyNumberFormat="0" applyFill="0" applyBorder="0" applyAlignment="0" applyProtection="0"/>
    <xf numFmtId="0" fontId="2" fillId="0" borderId="0"/>
  </cellStyleXfs>
  <cellXfs count="181">
    <xf numFmtId="0" fontId="0" fillId="0" borderId="0" xfId="0"/>
    <xf numFmtId="0" fontId="0" fillId="2" borderId="2" xfId="0" applyFill="1" applyBorder="1" applyAlignment="1">
      <alignment horizontal="left" vertical="top" wrapText="1"/>
    </xf>
    <xf numFmtId="0" fontId="0" fillId="2" borderId="0" xfId="0" applyFill="1"/>
    <xf numFmtId="0" fontId="3" fillId="2" borderId="0" xfId="0" applyFont="1" applyFill="1"/>
    <xf numFmtId="0" fontId="0" fillId="2" borderId="0" xfId="0" applyFill="1" applyAlignment="1">
      <alignment horizontal="center"/>
    </xf>
    <xf numFmtId="0" fontId="0" fillId="2" borderId="0" xfId="0" applyFill="1" applyAlignment="1">
      <alignment horizontal="left"/>
    </xf>
    <xf numFmtId="0" fontId="5" fillId="2" borderId="0" xfId="0" applyFont="1" applyFill="1" applyAlignment="1">
      <alignment horizontal="left"/>
    </xf>
    <xf numFmtId="0" fontId="3" fillId="2" borderId="0" xfId="0" applyFont="1" applyFill="1" applyAlignment="1">
      <alignment horizontal="center" vertical="center"/>
    </xf>
    <xf numFmtId="0" fontId="0" fillId="2" borderId="2" xfId="0" applyFill="1" applyBorder="1" applyAlignment="1">
      <alignment vertical="center"/>
    </xf>
    <xf numFmtId="0" fontId="3" fillId="2" borderId="2" xfId="0" applyFont="1" applyFill="1" applyBorder="1" applyAlignment="1">
      <alignment vertical="center"/>
    </xf>
    <xf numFmtId="0" fontId="0" fillId="2" borderId="3" xfId="0" applyFill="1" applyBorder="1" applyAlignment="1">
      <alignment vertical="center"/>
    </xf>
    <xf numFmtId="0" fontId="3" fillId="2" borderId="0" xfId="0" applyFont="1" applyFill="1" applyAlignment="1">
      <alignment vertical="center"/>
    </xf>
    <xf numFmtId="0" fontId="0" fillId="2" borderId="0" xfId="0" applyFill="1" applyAlignment="1">
      <alignment vertical="center"/>
    </xf>
    <xf numFmtId="2" fontId="0" fillId="2" borderId="2" xfId="0" applyNumberFormat="1" applyFill="1" applyBorder="1" applyAlignment="1">
      <alignment horizontal="center" vertical="center"/>
    </xf>
    <xf numFmtId="0" fontId="6" fillId="2" borderId="0" xfId="0" applyFont="1" applyFill="1" applyAlignment="1">
      <alignment vertical="center"/>
    </xf>
    <xf numFmtId="0" fontId="3" fillId="2" borderId="5" xfId="0" applyFont="1" applyFill="1" applyBorder="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2" fontId="3" fillId="2" borderId="2" xfId="0" applyNumberFormat="1" applyFont="1" applyFill="1" applyBorder="1" applyAlignment="1">
      <alignment horizontal="center" vertical="center"/>
    </xf>
    <xf numFmtId="2" fontId="0" fillId="2" borderId="3" xfId="0" applyNumberFormat="1" applyFill="1" applyBorder="1" applyAlignment="1">
      <alignment horizontal="center" vertical="center"/>
    </xf>
    <xf numFmtId="2" fontId="3" fillId="2" borderId="0" xfId="0" applyNumberFormat="1" applyFont="1" applyFill="1" applyAlignment="1">
      <alignment horizontal="center" vertical="center"/>
    </xf>
    <xf numFmtId="2" fontId="3" fillId="2" borderId="5" xfId="0" applyNumberFormat="1" applyFont="1" applyFill="1" applyBorder="1" applyAlignment="1">
      <alignment horizontal="center" vertical="center"/>
    </xf>
    <xf numFmtId="0" fontId="8" fillId="2" borderId="0" xfId="1" applyFill="1"/>
    <xf numFmtId="0" fontId="8" fillId="2" borderId="0" xfId="1" applyFill="1" applyAlignment="1">
      <alignment horizontal="center"/>
    </xf>
    <xf numFmtId="2" fontId="0" fillId="2" borderId="0" xfId="0" applyNumberFormat="1" applyFill="1" applyAlignment="1">
      <alignment horizontal="center"/>
    </xf>
    <xf numFmtId="1" fontId="3" fillId="4" borderId="0" xfId="0" applyNumberFormat="1" applyFont="1" applyFill="1" applyAlignment="1">
      <alignment horizontal="center"/>
    </xf>
    <xf numFmtId="0" fontId="6" fillId="2" borderId="0" xfId="1" applyFont="1" applyFill="1"/>
    <xf numFmtId="0" fontId="0" fillId="2" borderId="0" xfId="1" applyFont="1" applyFill="1"/>
    <xf numFmtId="2" fontId="0" fillId="2" borderId="0" xfId="1" applyNumberFormat="1" applyFont="1" applyFill="1" applyAlignment="1">
      <alignment horizontal="center"/>
    </xf>
    <xf numFmtId="0" fontId="0" fillId="3" borderId="0" xfId="0" applyFill="1" applyAlignment="1">
      <alignment horizontal="center" vertical="center" wrapText="1"/>
    </xf>
    <xf numFmtId="1" fontId="3" fillId="2" borderId="0" xfId="0" applyNumberFormat="1" applyFont="1" applyFill="1" applyAlignment="1">
      <alignment horizontal="center" vertical="center"/>
    </xf>
    <xf numFmtId="1" fontId="0" fillId="2" borderId="0" xfId="0" applyNumberFormat="1" applyFill="1" applyAlignment="1">
      <alignment horizontal="center" vertical="center"/>
    </xf>
    <xf numFmtId="1"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wrapText="1"/>
    </xf>
    <xf numFmtId="0" fontId="3" fillId="2" borderId="1" xfId="0" applyFont="1" applyFill="1" applyBorder="1" applyAlignment="1">
      <alignment vertical="center"/>
    </xf>
    <xf numFmtId="2" fontId="0" fillId="2" borderId="0" xfId="0" applyNumberFormat="1" applyFill="1" applyAlignment="1">
      <alignment horizontal="center" vertical="center"/>
    </xf>
    <xf numFmtId="1" fontId="0" fillId="2" borderId="0" xfId="0" applyNumberFormat="1" applyFill="1" applyAlignment="1">
      <alignment horizontal="left" vertical="center" wrapText="1"/>
    </xf>
    <xf numFmtId="1" fontId="0" fillId="2" borderId="0" xfId="0" applyNumberFormat="1" applyFill="1" applyAlignment="1">
      <alignment horizontal="center" vertical="center" wrapText="1"/>
    </xf>
    <xf numFmtId="0" fontId="0" fillId="3" borderId="2" xfId="0" applyFill="1" applyBorder="1" applyAlignment="1">
      <alignment horizontal="center" vertical="center" wrapText="1"/>
    </xf>
    <xf numFmtId="0" fontId="0" fillId="2" borderId="1" xfId="0" applyFill="1" applyBorder="1" applyAlignment="1">
      <alignment vertical="center" wrapText="1"/>
    </xf>
    <xf numFmtId="1" fontId="3" fillId="2" borderId="1" xfId="0" applyNumberFormat="1" applyFont="1" applyFill="1" applyBorder="1" applyAlignment="1">
      <alignment horizontal="center" vertical="center"/>
    </xf>
    <xf numFmtId="0" fontId="0" fillId="2" borderId="2" xfId="0" applyFill="1" applyBorder="1" applyAlignment="1">
      <alignment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wrapText="1"/>
    </xf>
    <xf numFmtId="0" fontId="0" fillId="3" borderId="10" xfId="0" applyFill="1" applyBorder="1" applyAlignment="1">
      <alignment horizontal="center" vertical="center" wrapText="1"/>
    </xf>
    <xf numFmtId="1" fontId="0" fillId="2" borderId="10" xfId="0" applyNumberFormat="1" applyFill="1" applyBorder="1" applyAlignment="1">
      <alignment horizontal="center" vertical="center"/>
    </xf>
    <xf numFmtId="0" fontId="0" fillId="2" borderId="9" xfId="0" applyFill="1" applyBorder="1" applyAlignment="1">
      <alignment vertical="center"/>
    </xf>
    <xf numFmtId="0" fontId="0" fillId="3" borderId="9" xfId="0" applyFill="1" applyBorder="1" applyAlignment="1">
      <alignment horizontal="center" vertical="center" wrapText="1"/>
    </xf>
    <xf numFmtId="0" fontId="0" fillId="2" borderId="10" xfId="0" applyFill="1" applyBorder="1" applyAlignment="1">
      <alignment horizontal="center" vertical="center"/>
    </xf>
    <xf numFmtId="2" fontId="0" fillId="2" borderId="10" xfId="0" applyNumberFormat="1" applyFill="1" applyBorder="1" applyAlignment="1">
      <alignment horizontal="center" vertical="center"/>
    </xf>
    <xf numFmtId="0" fontId="0" fillId="2" borderId="10"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horizontal="center" vertical="top" wrapText="1"/>
    </xf>
    <xf numFmtId="0" fontId="0" fillId="0" borderId="7" xfId="0" applyBorder="1" applyAlignment="1">
      <alignment horizontal="center" vertical="top" wrapText="1"/>
    </xf>
    <xf numFmtId="0" fontId="0" fillId="2" borderId="10" xfId="0" applyFill="1" applyBorder="1" applyAlignment="1">
      <alignment horizontal="left" vertical="center"/>
    </xf>
    <xf numFmtId="0" fontId="0" fillId="2" borderId="7" xfId="0" applyFill="1" applyBorder="1" applyAlignment="1">
      <alignment horizontal="left" vertical="center"/>
    </xf>
    <xf numFmtId="0" fontId="0" fillId="2" borderId="7" xfId="0" applyFill="1" applyBorder="1" applyAlignment="1">
      <alignment horizontal="center" vertical="center" wrapText="1"/>
    </xf>
    <xf numFmtId="0" fontId="0" fillId="2" borderId="0" xfId="0" applyFill="1" applyAlignment="1">
      <alignment vertical="center" wrapText="1"/>
    </xf>
    <xf numFmtId="0" fontId="0" fillId="2" borderId="1" xfId="0" applyFill="1" applyBorder="1" applyAlignment="1">
      <alignment vertical="center"/>
    </xf>
    <xf numFmtId="0" fontId="0" fillId="2" borderId="1" xfId="0" applyFill="1" applyBorder="1" applyAlignment="1">
      <alignment horizontal="left" vertical="center"/>
    </xf>
    <xf numFmtId="0" fontId="0" fillId="2" borderId="0" xfId="0" applyFill="1" applyAlignment="1">
      <alignment vertical="top" wrapText="1"/>
    </xf>
    <xf numFmtId="0" fontId="0" fillId="2" borderId="0" xfId="0" applyFill="1" applyAlignment="1">
      <alignment horizontal="center" vertical="top" wrapText="1"/>
    </xf>
    <xf numFmtId="49" fontId="0" fillId="2" borderId="10" xfId="0" applyNumberFormat="1" applyFill="1" applyBorder="1" applyAlignment="1">
      <alignment vertical="center"/>
    </xf>
    <xf numFmtId="0" fontId="0" fillId="2" borderId="10" xfId="0" applyFill="1" applyBorder="1" applyAlignment="1">
      <alignment vertical="top" wrapText="1"/>
    </xf>
    <xf numFmtId="0" fontId="0" fillId="2" borderId="0" xfId="0" applyFill="1" applyAlignment="1">
      <alignment horizontal="left" vertical="top" wrapText="1"/>
    </xf>
    <xf numFmtId="49" fontId="0" fillId="2" borderId="9" xfId="0" applyNumberFormat="1" applyFill="1" applyBorder="1" applyAlignment="1">
      <alignment vertical="center"/>
    </xf>
    <xf numFmtId="49" fontId="0" fillId="2" borderId="1" xfId="0" applyNumberFormat="1" applyFill="1" applyBorder="1" applyAlignment="1">
      <alignment vertical="top"/>
    </xf>
    <xf numFmtId="49" fontId="0" fillId="2" borderId="7" xfId="0" applyNumberFormat="1" applyFill="1" applyBorder="1" applyAlignment="1">
      <alignment vertical="center"/>
    </xf>
    <xf numFmtId="49" fontId="0" fillId="2" borderId="0" xfId="0" applyNumberFormat="1" applyFill="1" applyAlignment="1">
      <alignment vertical="center"/>
    </xf>
    <xf numFmtId="0" fontId="0" fillId="2" borderId="0" xfId="0" applyFill="1" applyAlignment="1">
      <alignment horizontal="left" vertical="center"/>
    </xf>
    <xf numFmtId="49" fontId="0" fillId="2" borderId="10" xfId="0" applyNumberFormat="1" applyFill="1" applyBorder="1" applyAlignment="1">
      <alignment vertical="top"/>
    </xf>
    <xf numFmtId="49" fontId="0" fillId="2" borderId="7" xfId="0" applyNumberFormat="1" applyFill="1" applyBorder="1" applyAlignment="1">
      <alignment vertical="top"/>
    </xf>
    <xf numFmtId="0" fontId="0" fillId="2" borderId="7" xfId="0" applyFill="1" applyBorder="1" applyAlignment="1">
      <alignment vertical="top"/>
    </xf>
    <xf numFmtId="0" fontId="0" fillId="2" borderId="7" xfId="0" applyFill="1" applyBorder="1" applyAlignment="1">
      <alignment vertical="top" wrapText="1"/>
    </xf>
    <xf numFmtId="49" fontId="0" fillId="2" borderId="7" xfId="0" applyNumberFormat="1" applyFill="1" applyBorder="1" applyAlignment="1">
      <alignment vertical="top" wrapText="1"/>
    </xf>
    <xf numFmtId="0" fontId="0" fillId="2" borderId="7" xfId="0" applyFill="1" applyBorder="1" applyAlignment="1">
      <alignment horizontal="left" vertical="top" wrapText="1"/>
    </xf>
    <xf numFmtId="0" fontId="0" fillId="3" borderId="7" xfId="0" applyFill="1" applyBorder="1" applyAlignment="1">
      <alignment horizontal="center" vertical="center" wrapText="1"/>
    </xf>
    <xf numFmtId="49" fontId="0" fillId="2" borderId="12" xfId="0" applyNumberFormat="1" applyFill="1" applyBorder="1" applyAlignment="1">
      <alignment vertical="top"/>
    </xf>
    <xf numFmtId="0" fontId="0" fillId="2" borderId="12" xfId="0" applyFill="1" applyBorder="1" applyAlignment="1">
      <alignment vertical="top" wrapText="1"/>
    </xf>
    <xf numFmtId="0" fontId="0" fillId="2" borderId="12" xfId="0" applyFill="1" applyBorder="1" applyAlignment="1">
      <alignment horizontal="center" vertical="center"/>
    </xf>
    <xf numFmtId="2" fontId="0" fillId="2" borderId="1" xfId="0" applyNumberFormat="1" applyFill="1" applyBorder="1" applyAlignment="1">
      <alignment horizontal="center" vertical="center"/>
    </xf>
    <xf numFmtId="0" fontId="0" fillId="2" borderId="7" xfId="0" applyFill="1" applyBorder="1" applyAlignment="1">
      <alignment vertical="center" wrapText="1"/>
    </xf>
    <xf numFmtId="49" fontId="0" fillId="2" borderId="11" xfId="0" applyNumberFormat="1" applyFill="1" applyBorder="1" applyAlignment="1">
      <alignment vertical="center"/>
    </xf>
    <xf numFmtId="0" fontId="0" fillId="2" borderId="11" xfId="0" applyFill="1" applyBorder="1" applyAlignment="1">
      <alignment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49" fontId="0" fillId="2" borderId="12" xfId="0" applyNumberFormat="1" applyFill="1" applyBorder="1" applyAlignment="1">
      <alignment vertical="center"/>
    </xf>
    <xf numFmtId="49" fontId="0" fillId="2" borderId="7" xfId="0" applyNumberFormat="1" applyFill="1" applyBorder="1" applyAlignment="1">
      <alignment horizontal="left" vertical="center"/>
    </xf>
    <xf numFmtId="0" fontId="0" fillId="2" borderId="12" xfId="0" applyFill="1" applyBorder="1" applyAlignment="1">
      <alignment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vertical="center"/>
    </xf>
    <xf numFmtId="0" fontId="0" fillId="2" borderId="12" xfId="0" applyFill="1" applyBorder="1" applyAlignment="1">
      <alignment vertical="center"/>
    </xf>
    <xf numFmtId="0" fontId="0" fillId="2" borderId="10" xfId="0" applyFill="1" applyBorder="1" applyAlignment="1">
      <alignment vertical="top"/>
    </xf>
    <xf numFmtId="0" fontId="0" fillId="2" borderId="12" xfId="0" applyFill="1" applyBorder="1" applyAlignment="1">
      <alignment vertical="top"/>
    </xf>
    <xf numFmtId="0" fontId="0" fillId="3" borderId="12" xfId="0" applyFill="1" applyBorder="1" applyAlignment="1">
      <alignment horizontal="center" vertical="center" wrapText="1"/>
    </xf>
    <xf numFmtId="49" fontId="0" fillId="2" borderId="10" xfId="0" applyNumberFormat="1" applyFill="1" applyBorder="1"/>
    <xf numFmtId="49" fontId="0" fillId="2" borderId="7" xfId="0" applyNumberFormat="1" applyFill="1" applyBorder="1"/>
    <xf numFmtId="49" fontId="0" fillId="2" borderId="12" xfId="0" applyNumberFormat="1" applyFill="1" applyBorder="1"/>
    <xf numFmtId="49" fontId="0" fillId="2" borderId="11" xfId="0" applyNumberFormat="1" applyFill="1" applyBorder="1" applyAlignment="1">
      <alignment vertical="top"/>
    </xf>
    <xf numFmtId="49" fontId="0" fillId="2" borderId="9" xfId="0" applyNumberFormat="1" applyFill="1" applyBorder="1" applyAlignment="1">
      <alignment vertical="top"/>
    </xf>
    <xf numFmtId="49" fontId="0" fillId="2" borderId="0" xfId="0" applyNumberFormat="1" applyFill="1" applyAlignment="1">
      <alignment vertical="top"/>
    </xf>
    <xf numFmtId="0" fontId="0" fillId="3" borderId="7" xfId="0" applyFill="1" applyBorder="1" applyAlignment="1">
      <alignment horizontal="center" vertical="top" wrapText="1"/>
    </xf>
    <xf numFmtId="0" fontId="0" fillId="2" borderId="11" xfId="0" applyFill="1" applyBorder="1" applyAlignment="1">
      <alignment vertical="top"/>
    </xf>
    <xf numFmtId="0" fontId="0" fillId="3" borderId="11" xfId="0" applyFill="1" applyBorder="1" applyAlignment="1">
      <alignment horizontal="center" vertical="top" wrapText="1"/>
    </xf>
    <xf numFmtId="0" fontId="0" fillId="6" borderId="0" xfId="0" applyFill="1" applyAlignment="1">
      <alignment vertical="center"/>
    </xf>
    <xf numFmtId="0" fontId="0" fillId="6" borderId="0" xfId="0" applyFill="1"/>
    <xf numFmtId="0" fontId="0" fillId="0" borderId="0" xfId="0" applyAlignment="1">
      <alignment vertical="center"/>
    </xf>
    <xf numFmtId="0" fontId="9" fillId="2" borderId="0" xfId="0" applyFont="1" applyFill="1" applyAlignment="1">
      <alignment horizontal="left"/>
    </xf>
    <xf numFmtId="0" fontId="0" fillId="0" borderId="0" xfId="0" applyAlignment="1">
      <alignment horizontal="center" vertical="center" wrapText="1"/>
    </xf>
    <xf numFmtId="0" fontId="0" fillId="2" borderId="0" xfId="0" applyFill="1" applyAlignment="1">
      <alignment vertical="top"/>
    </xf>
    <xf numFmtId="49" fontId="0" fillId="2" borderId="1" xfId="0" applyNumberFormat="1" applyFill="1" applyBorder="1" applyAlignment="1">
      <alignment vertical="center"/>
    </xf>
    <xf numFmtId="49" fontId="0" fillId="2" borderId="7" xfId="0" applyNumberFormat="1" applyFill="1" applyBorder="1" applyAlignment="1">
      <alignment horizontal="left" vertical="top"/>
    </xf>
    <xf numFmtId="0" fontId="0" fillId="5" borderId="0" xfId="0" applyFill="1" applyAlignment="1">
      <alignment vertical="center"/>
    </xf>
    <xf numFmtId="0" fontId="0" fillId="2" borderId="11" xfId="0" applyFill="1" applyBorder="1" applyAlignment="1">
      <alignment horizontal="left" vertical="center"/>
    </xf>
    <xf numFmtId="0" fontId="0" fillId="2" borderId="9" xfId="0" applyFill="1" applyBorder="1" applyAlignment="1">
      <alignment horizontal="left" vertical="center"/>
    </xf>
    <xf numFmtId="49" fontId="0" fillId="2" borderId="1" xfId="0" applyNumberFormat="1" applyFill="1" applyBorder="1" applyAlignment="1">
      <alignment horizontal="left" vertical="center"/>
    </xf>
    <xf numFmtId="0" fontId="0" fillId="6" borderId="16" xfId="0" applyFill="1" applyBorder="1"/>
    <xf numFmtId="0" fontId="7" fillId="2" borderId="6" xfId="0" applyFont="1" applyFill="1" applyBorder="1" applyAlignment="1">
      <alignment vertical="center" wrapText="1"/>
    </xf>
    <xf numFmtId="0" fontId="0" fillId="2" borderId="6" xfId="0" applyFill="1" applyBorder="1" applyAlignment="1">
      <alignment vertical="center" wrapText="1"/>
    </xf>
    <xf numFmtId="0" fontId="0" fillId="2" borderId="4" xfId="0" applyFill="1" applyBorder="1" applyAlignment="1">
      <alignment vertical="center" wrapText="1"/>
    </xf>
    <xf numFmtId="0" fontId="0" fillId="2" borderId="0" xfId="0" applyFill="1" applyAlignment="1">
      <alignment horizontal="center" wrapText="1"/>
    </xf>
    <xf numFmtId="0" fontId="0" fillId="5" borderId="0" xfId="0" applyFill="1" applyAlignment="1">
      <alignment horizontal="center" wrapText="1"/>
    </xf>
    <xf numFmtId="0" fontId="0" fillId="2" borderId="2" xfId="0"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7" xfId="0" applyBorder="1" applyAlignment="1">
      <alignment horizontal="left" vertical="center" wrapText="1"/>
    </xf>
    <xf numFmtId="0" fontId="0" fillId="2" borderId="3" xfId="0"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0" fillId="2" borderId="9" xfId="0" applyFill="1" applyBorder="1" applyAlignment="1">
      <alignment horizontal="center" vertical="center" wrapText="1"/>
    </xf>
    <xf numFmtId="2" fontId="0" fillId="2" borderId="5" xfId="0" applyNumberFormat="1" applyFill="1" applyBorder="1" applyAlignment="1">
      <alignment horizontal="center" vertical="center" wrapText="1"/>
    </xf>
    <xf numFmtId="2" fontId="0" fillId="2" borderId="0" xfId="0" applyNumberFormat="1" applyFill="1" applyAlignment="1">
      <alignment horizontal="center" vertical="center" wrapText="1"/>
    </xf>
    <xf numFmtId="0" fontId="0" fillId="0" borderId="0" xfId="0" applyAlignment="1">
      <alignment vertical="center" wrapText="1"/>
    </xf>
    <xf numFmtId="2" fontId="3" fillId="2" borderId="0" xfId="0" applyNumberFormat="1" applyFont="1" applyFill="1" applyAlignment="1">
      <alignment horizontal="center" vertical="center" wrapText="1"/>
    </xf>
    <xf numFmtId="0" fontId="3" fillId="2" borderId="5" xfId="0" applyFont="1" applyFill="1" applyBorder="1" applyAlignment="1">
      <alignment horizontal="center" vertical="center" wrapText="1"/>
    </xf>
    <xf numFmtId="2" fontId="0" fillId="2" borderId="3" xfId="0" applyNumberFormat="1" applyFill="1" applyBorder="1" applyAlignment="1">
      <alignment horizontal="right" vertical="center" wrapText="1"/>
    </xf>
    <xf numFmtId="0" fontId="0" fillId="2" borderId="0" xfId="0" applyFill="1" applyAlignment="1">
      <alignment horizontal="right" vertical="center" wrapText="1"/>
    </xf>
    <xf numFmtId="0" fontId="0" fillId="2" borderId="1" xfId="0" applyFill="1" applyBorder="1" applyAlignment="1">
      <alignment horizontal="right" vertical="center" wrapText="1"/>
    </xf>
    <xf numFmtId="2" fontId="3" fillId="2" borderId="2" xfId="0" applyNumberFormat="1" applyFont="1" applyFill="1" applyBorder="1" applyAlignment="1">
      <alignment horizontal="right" vertical="center" wrapText="1"/>
    </xf>
    <xf numFmtId="2" fontId="3" fillId="2" borderId="0" xfId="0" applyNumberFormat="1" applyFont="1" applyFill="1" applyAlignment="1">
      <alignment horizontal="right" vertical="center" wrapText="1"/>
    </xf>
    <xf numFmtId="0" fontId="0" fillId="3" borderId="10" xfId="0" applyFill="1" applyBorder="1" applyAlignment="1">
      <alignment horizontal="center" vertical="top" wrapText="1"/>
    </xf>
    <xf numFmtId="1" fontId="3" fillId="7" borderId="0" xfId="0" applyNumberFormat="1" applyFont="1" applyFill="1" applyAlignment="1">
      <alignment horizontal="center"/>
    </xf>
    <xf numFmtId="1" fontId="0" fillId="2" borderId="11" xfId="0" applyNumberFormat="1" applyFill="1" applyBorder="1" applyAlignment="1">
      <alignment horizontal="center" vertical="center"/>
    </xf>
    <xf numFmtId="0" fontId="0" fillId="2" borderId="12" xfId="0" applyFill="1" applyBorder="1" applyAlignment="1">
      <alignment horizontal="center" vertical="center" wrapText="1"/>
    </xf>
    <xf numFmtId="1" fontId="0" fillId="2" borderId="3" xfId="0" applyNumberFormat="1" applyFill="1" applyBorder="1" applyAlignment="1">
      <alignment horizontal="center" vertical="center"/>
    </xf>
    <xf numFmtId="0" fontId="0" fillId="6" borderId="15" xfId="0" applyFill="1" applyBorder="1"/>
    <xf numFmtId="0" fontId="0" fillId="6" borderId="2" xfId="0" applyFill="1" applyBorder="1"/>
    <xf numFmtId="0" fontId="0" fillId="6" borderId="18" xfId="0" applyFill="1" applyBorder="1"/>
    <xf numFmtId="0" fontId="0" fillId="6" borderId="13" xfId="0" applyFill="1" applyBorder="1"/>
    <xf numFmtId="0" fontId="3" fillId="6" borderId="0" xfId="0" applyFont="1" applyFill="1"/>
    <xf numFmtId="0" fontId="0" fillId="6" borderId="14" xfId="0" applyFill="1" applyBorder="1"/>
    <xf numFmtId="0" fontId="0" fillId="6" borderId="1" xfId="0" applyFill="1" applyBorder="1"/>
    <xf numFmtId="0" fontId="0" fillId="6" borderId="17" xfId="0" applyFill="1" applyBorder="1"/>
    <xf numFmtId="0" fontId="0" fillId="2" borderId="0" xfId="0" applyFill="1" applyAlignment="1">
      <alignment horizontal="left" vertical="center" wrapText="1"/>
    </xf>
    <xf numFmtId="0" fontId="0" fillId="2" borderId="0" xfId="0" applyFill="1" applyAlignment="1">
      <alignment horizontal="justify"/>
    </xf>
    <xf numFmtId="0" fontId="0" fillId="2" borderId="1" xfId="0" applyFill="1" applyBorder="1" applyAlignment="1">
      <alignment vertical="center"/>
    </xf>
    <xf numFmtId="49" fontId="0" fillId="2" borderId="0" xfId="0" applyNumberFormat="1" applyFill="1" applyBorder="1" applyAlignment="1">
      <alignment vertical="top"/>
    </xf>
    <xf numFmtId="49" fontId="0" fillId="2" borderId="0" xfId="0" applyNumberFormat="1" applyFill="1" applyBorder="1" applyAlignment="1">
      <alignment vertical="center"/>
    </xf>
    <xf numFmtId="0" fontId="0" fillId="2" borderId="0" xfId="0" applyFill="1" applyBorder="1" applyAlignment="1">
      <alignment vertical="center"/>
    </xf>
    <xf numFmtId="0" fontId="0" fillId="2" borderId="9" xfId="0" applyFill="1" applyBorder="1" applyAlignment="1">
      <alignment vertical="top"/>
    </xf>
    <xf numFmtId="0" fontId="0" fillId="2" borderId="2" xfId="0" applyFill="1" applyBorder="1" applyAlignment="1">
      <alignment vertical="top" wrapText="1"/>
    </xf>
    <xf numFmtId="0" fontId="0" fillId="2" borderId="8" xfId="0" applyFill="1" applyBorder="1" applyAlignment="1">
      <alignment vertical="top"/>
    </xf>
    <xf numFmtId="0" fontId="0" fillId="2" borderId="1" xfId="0" applyFill="1" applyBorder="1" applyAlignment="1">
      <alignment vertical="top"/>
    </xf>
    <xf numFmtId="0" fontId="0" fillId="2" borderId="0" xfId="0" applyFill="1" applyAlignment="1">
      <alignment horizontal="left" vertical="top"/>
    </xf>
    <xf numFmtId="0" fontId="0" fillId="2" borderId="0" xfId="0" applyFill="1" applyAlignment="1">
      <alignment vertical="top" wrapText="1"/>
    </xf>
    <xf numFmtId="0" fontId="0" fillId="2" borderId="2" xfId="0" applyFill="1" applyBorder="1" applyAlignment="1">
      <alignment vertical="top"/>
    </xf>
    <xf numFmtId="0" fontId="0" fillId="2" borderId="1"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0" fillId="2" borderId="2" xfId="0" applyFill="1" applyBorder="1" applyAlignment="1">
      <alignment horizontal="left" vertical="top"/>
    </xf>
    <xf numFmtId="0" fontId="0" fillId="2" borderId="0" xfId="0" applyFill="1" applyAlignment="1">
      <alignment horizontal="left" vertical="center"/>
    </xf>
    <xf numFmtId="0" fontId="10" fillId="2" borderId="1" xfId="0" applyFont="1" applyFill="1" applyBorder="1" applyAlignment="1">
      <alignment horizontal="left" vertical="center"/>
    </xf>
    <xf numFmtId="0" fontId="10" fillId="2" borderId="2" xfId="0" applyFont="1" applyFill="1" applyBorder="1" applyAlignment="1">
      <alignment vertical="center"/>
    </xf>
    <xf numFmtId="0" fontId="3" fillId="2" borderId="0" xfId="0" applyFont="1" applyFill="1" applyAlignment="1">
      <alignment vertical="center"/>
    </xf>
    <xf numFmtId="0" fontId="0" fillId="2" borderId="0" xfId="0" applyFill="1" applyAlignment="1">
      <alignment horizontal="left" vertical="top" wrapText="1"/>
    </xf>
    <xf numFmtId="0" fontId="0" fillId="2" borderId="10" xfId="0" applyFill="1" applyBorder="1" applyAlignment="1">
      <alignment horizontal="left" vertical="top"/>
    </xf>
    <xf numFmtId="0" fontId="0" fillId="2" borderId="1" xfId="0" applyFill="1" applyBorder="1" applyAlignment="1">
      <alignment horizontal="left" vertical="top"/>
    </xf>
    <xf numFmtId="0" fontId="3" fillId="2" borderId="0" xfId="0" applyFont="1" applyFill="1" applyAlignment="1">
      <alignment horizontal="left" vertical="center"/>
    </xf>
    <xf numFmtId="0" fontId="1" fillId="6" borderId="0" xfId="0" applyFont="1" applyFill="1" applyAlignment="1">
      <alignment vertical="top" wrapText="1"/>
    </xf>
  </cellXfs>
  <cellStyles count="3">
    <cellStyle name="Normal 2" xfId="2" xr:uid="{34CBC1A5-8431-4841-A62D-11985947DEDA}"/>
    <cellStyle name="Standard" xfId="0" builtinId="0"/>
    <cellStyle name="Zeilenebene_2" xfId="1" builtinId="1" iLevel="1"/>
  </cellStyles>
  <dxfs count="35">
    <dxf>
      <font>
        <strike val="0"/>
        <outline val="0"/>
        <shadow val="0"/>
        <u val="none"/>
        <vertAlign val="baseline"/>
        <sz val="12"/>
        <name val="Calibri"/>
        <family val="2"/>
        <scheme val="minor"/>
      </font>
      <fill>
        <patternFill patternType="solid">
          <fgColor indexed="64"/>
          <bgColor theme="0"/>
        </patternFill>
      </fill>
      <alignment vertical="center" textRotation="0" wrapText="1"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vertical="center" textRotation="0" wrapText="1"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vertical="center" textRotation="0" wrapText="1" indent="0" justifyLastLine="0" shrinkToFit="0" readingOrder="0"/>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theme="2" tint="-9.9948118533890809E-2"/>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theme="2" tint="-9.9948118533890809E-2"/>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C02D41-8D54-4B75-B129-B922EB1392FC}" name="Tabelle3" displayName="Tabelle3" ref="G591:G595" totalsRowShown="0" headerRowDxfId="2" dataDxfId="1">
  <autoFilter ref="G591:G595" xr:uid="{392F1CF3-85E9-4E91-900A-4840F6DA6765}"/>
  <tableColumns count="1">
    <tableColumn id="1" xr3:uid="{BB323DD2-CB71-4C6C-8074-105FFFFE3540}" name="Spalte1"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DA64-BB12-45CA-AF9D-3273E005B1CB}">
  <dimension ref="B2:D11"/>
  <sheetViews>
    <sheetView tabSelected="1" workbookViewId="0">
      <selection activeCell="C6" sqref="C6"/>
    </sheetView>
  </sheetViews>
  <sheetFormatPr baseColWidth="10" defaultColWidth="11" defaultRowHeight="15.5" x14ac:dyDescent="0.35"/>
  <cols>
    <col min="1" max="1" width="3.08203125" style="2" customWidth="1"/>
    <col min="2" max="2" width="2.08203125" style="2" customWidth="1"/>
    <col min="3" max="3" width="121.25" style="2" customWidth="1"/>
    <col min="4" max="4" width="5.08203125" style="2" customWidth="1"/>
    <col min="5" max="16384" width="11" style="2"/>
  </cols>
  <sheetData>
    <row r="2" spans="2:4" ht="9" customHeight="1" x14ac:dyDescent="0.35">
      <c r="B2" s="146"/>
      <c r="C2" s="147"/>
      <c r="D2" s="148"/>
    </row>
    <row r="3" spans="2:4" x14ac:dyDescent="0.35">
      <c r="B3" s="149"/>
      <c r="C3" s="150" t="s">
        <v>0</v>
      </c>
      <c r="D3" s="119"/>
    </row>
    <row r="4" spans="2:4" x14ac:dyDescent="0.35">
      <c r="B4" s="149"/>
      <c r="C4" s="108" t="s">
        <v>669</v>
      </c>
      <c r="D4" s="119"/>
    </row>
    <row r="5" spans="2:4" x14ac:dyDescent="0.35">
      <c r="B5" s="149"/>
      <c r="C5" s="108"/>
      <c r="D5" s="119"/>
    </row>
    <row r="6" spans="2:4" ht="409.5" customHeight="1" x14ac:dyDescent="0.35">
      <c r="B6" s="149"/>
      <c r="C6" s="180" t="s">
        <v>670</v>
      </c>
      <c r="D6" s="119"/>
    </row>
    <row r="7" spans="2:4" ht="12.75" customHeight="1" x14ac:dyDescent="0.35">
      <c r="B7" s="149"/>
      <c r="C7" s="108"/>
      <c r="D7" s="119"/>
    </row>
    <row r="8" spans="2:4" ht="8.25" customHeight="1" x14ac:dyDescent="0.35">
      <c r="B8" s="151"/>
      <c r="C8" s="152"/>
      <c r="D8" s="153"/>
    </row>
    <row r="11" spans="2:4" x14ac:dyDescent="0.35">
      <c r="C11" s="15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079D8-2884-459D-991D-11F920C01905}">
  <dimension ref="B2:G39"/>
  <sheetViews>
    <sheetView zoomScale="80" zoomScaleNormal="80" workbookViewId="0"/>
  </sheetViews>
  <sheetFormatPr baseColWidth="10" defaultColWidth="9.33203125" defaultRowHeight="15.5" outlineLevelRow="2" x14ac:dyDescent="0.35"/>
  <cols>
    <col min="1" max="3" width="3" style="2" customWidth="1"/>
    <col min="4" max="4" width="82.83203125" style="2" customWidth="1"/>
    <col min="5" max="5" width="21.5" style="4" customWidth="1"/>
    <col min="6" max="7" width="9.33203125" style="4"/>
    <col min="8" max="16384" width="9.33203125" style="2"/>
  </cols>
  <sheetData>
    <row r="2" spans="2:7" x14ac:dyDescent="0.35">
      <c r="B2" s="3" t="s">
        <v>1</v>
      </c>
      <c r="E2" s="24"/>
      <c r="G2" s="5"/>
    </row>
    <row r="3" spans="2:7" x14ac:dyDescent="0.35">
      <c r="B3" s="3"/>
      <c r="E3" s="24"/>
      <c r="G3" s="5"/>
    </row>
    <row r="4" spans="2:7" x14ac:dyDescent="0.35">
      <c r="B4" s="3" t="s">
        <v>2</v>
      </c>
      <c r="E4" s="142">
        <f>Inputs!$H$109</f>
        <v>1.8603844545677228</v>
      </c>
      <c r="F4" s="6"/>
    </row>
    <row r="5" spans="2:7" outlineLevel="1" x14ac:dyDescent="0.35">
      <c r="C5" s="2" t="s">
        <v>3</v>
      </c>
      <c r="E5" s="24">
        <f>Inputs!$H$61</f>
        <v>3.2568160965159056</v>
      </c>
    </row>
    <row r="6" spans="2:7" outlineLevel="1" x14ac:dyDescent="0.35">
      <c r="D6" s="2" t="s">
        <v>4</v>
      </c>
      <c r="E6" s="24">
        <f>Inputs!H30</f>
        <v>3.8</v>
      </c>
    </row>
    <row r="7" spans="2:7" outlineLevel="1" x14ac:dyDescent="0.35">
      <c r="D7" s="2" t="s">
        <v>5</v>
      </c>
      <c r="E7" s="24">
        <f>Inputs!H39</f>
        <v>2</v>
      </c>
    </row>
    <row r="8" spans="2:7" outlineLevel="1" x14ac:dyDescent="0.35">
      <c r="D8" s="2" t="s">
        <v>6</v>
      </c>
      <c r="E8" s="24">
        <f>Inputs!H50</f>
        <v>4.9697926102086312</v>
      </c>
    </row>
    <row r="9" spans="2:7" outlineLevel="1" x14ac:dyDescent="0.35">
      <c r="D9" s="2" t="s">
        <v>7</v>
      </c>
      <c r="E9" s="24">
        <f>Inputs!H54</f>
        <v>1</v>
      </c>
    </row>
    <row r="10" spans="2:7" s="22" customFormat="1" outlineLevel="1" x14ac:dyDescent="0.35">
      <c r="B10" s="26"/>
      <c r="C10" s="27" t="s">
        <v>8</v>
      </c>
      <c r="D10" s="26"/>
      <c r="E10" s="28">
        <f>Inputs!H67</f>
        <v>3</v>
      </c>
      <c r="F10" s="23"/>
      <c r="G10" s="23"/>
    </row>
    <row r="11" spans="2:7" outlineLevel="1" x14ac:dyDescent="0.35">
      <c r="C11" s="2" t="s">
        <v>9</v>
      </c>
      <c r="E11" s="28">
        <f>Inputs!H107</f>
        <v>3.05</v>
      </c>
    </row>
    <row r="12" spans="2:7" outlineLevel="2" x14ac:dyDescent="0.35">
      <c r="D12" s="2" t="s">
        <v>10</v>
      </c>
      <c r="E12" s="24">
        <f>Inputs!H96</f>
        <v>3.3333333333333335</v>
      </c>
    </row>
    <row r="13" spans="2:7" outlineLevel="2" x14ac:dyDescent="0.35">
      <c r="D13" s="2" t="s">
        <v>11</v>
      </c>
      <c r="E13" s="24">
        <f>Inputs!H100</f>
        <v>3</v>
      </c>
    </row>
    <row r="14" spans="2:7" x14ac:dyDescent="0.35">
      <c r="B14" s="3" t="s">
        <v>12</v>
      </c>
      <c r="E14" s="25">
        <f>Inputs!H235</f>
        <v>5</v>
      </c>
    </row>
    <row r="15" spans="2:7" outlineLevel="1" x14ac:dyDescent="0.35">
      <c r="C15" s="2" t="s">
        <v>13</v>
      </c>
      <c r="E15" s="24">
        <f>Inputs!$H$132</f>
        <v>5</v>
      </c>
    </row>
    <row r="16" spans="2:7" s="22" customFormat="1" outlineLevel="1" x14ac:dyDescent="0.35">
      <c r="B16" s="26"/>
      <c r="C16" s="27" t="s">
        <v>14</v>
      </c>
      <c r="D16" s="26"/>
      <c r="E16" s="28">
        <f>Inputs!$H$154</f>
        <v>5</v>
      </c>
      <c r="F16" s="23"/>
      <c r="G16" s="23"/>
    </row>
    <row r="17" spans="2:5" outlineLevel="1" x14ac:dyDescent="0.35">
      <c r="D17" s="2" t="s">
        <v>15</v>
      </c>
      <c r="E17" s="24">
        <f>Inputs!$H$142</f>
        <v>5</v>
      </c>
    </row>
    <row r="18" spans="2:5" outlineLevel="1" x14ac:dyDescent="0.35">
      <c r="D18" s="2" t="s">
        <v>16</v>
      </c>
      <c r="E18" s="24">
        <f>Inputs!$H$152</f>
        <v>5</v>
      </c>
    </row>
    <row r="19" spans="2:5" outlineLevel="1" x14ac:dyDescent="0.35">
      <c r="C19" s="2" t="s">
        <v>17</v>
      </c>
      <c r="E19" s="24">
        <f>Inputs!$H$167</f>
        <v>5</v>
      </c>
    </row>
    <row r="20" spans="2:5" outlineLevel="1" x14ac:dyDescent="0.35">
      <c r="C20" s="2" t="s">
        <v>18</v>
      </c>
      <c r="E20" s="24">
        <f>Inputs!$H$233</f>
        <v>5</v>
      </c>
    </row>
    <row r="21" spans="2:5" outlineLevel="2" x14ac:dyDescent="0.35">
      <c r="D21" s="2" t="s">
        <v>19</v>
      </c>
      <c r="E21" s="24" t="str">
        <f>Inputs!H196</f>
        <v>N/A</v>
      </c>
    </row>
    <row r="22" spans="2:5" outlineLevel="2" x14ac:dyDescent="0.35">
      <c r="D22" s="2" t="s">
        <v>20</v>
      </c>
      <c r="E22" s="24">
        <f>Inputs!H221</f>
        <v>5</v>
      </c>
    </row>
    <row r="23" spans="2:5" outlineLevel="2" x14ac:dyDescent="0.35">
      <c r="D23" s="2" t="s">
        <v>21</v>
      </c>
      <c r="E23" s="24">
        <f>Inputs!H231</f>
        <v>5</v>
      </c>
    </row>
    <row r="24" spans="2:5" x14ac:dyDescent="0.35">
      <c r="B24" s="3" t="s">
        <v>22</v>
      </c>
      <c r="E24" s="25">
        <f>Inputs!$H$322</f>
        <v>1.4512407062695392</v>
      </c>
    </row>
    <row r="25" spans="2:5" outlineLevel="2" x14ac:dyDescent="0.35">
      <c r="D25" s="2" t="s">
        <v>23</v>
      </c>
      <c r="E25" s="24">
        <f>Inputs!$H$303</f>
        <v>2.7195874968559099</v>
      </c>
    </row>
    <row r="26" spans="2:5" outlineLevel="2" x14ac:dyDescent="0.35">
      <c r="D26" s="2" t="s">
        <v>24</v>
      </c>
      <c r="E26" s="24">
        <f>Inputs!$H$320</f>
        <v>1</v>
      </c>
    </row>
    <row r="27" spans="2:5" x14ac:dyDescent="0.35">
      <c r="B27" s="3" t="s">
        <v>25</v>
      </c>
      <c r="E27" s="25">
        <f>Inputs!$H$354</f>
        <v>5</v>
      </c>
    </row>
    <row r="28" spans="2:5" x14ac:dyDescent="0.35">
      <c r="B28" s="3" t="s">
        <v>26</v>
      </c>
      <c r="E28" s="25">
        <f>Inputs!H415</f>
        <v>5</v>
      </c>
    </row>
    <row r="29" spans="2:5" ht="15" customHeight="1" outlineLevel="1" x14ac:dyDescent="0.35">
      <c r="C29" s="2" t="s">
        <v>27</v>
      </c>
      <c r="E29" s="24">
        <f>Inputs!H378</f>
        <v>5</v>
      </c>
    </row>
    <row r="30" spans="2:5" ht="15" customHeight="1" outlineLevel="1" x14ac:dyDescent="0.35">
      <c r="C30" s="2" t="s">
        <v>28</v>
      </c>
      <c r="E30" s="24">
        <f>Inputs!H395</f>
        <v>5</v>
      </c>
    </row>
    <row r="31" spans="2:5" ht="15" customHeight="1" outlineLevel="1" x14ac:dyDescent="0.35">
      <c r="C31" s="2" t="s">
        <v>29</v>
      </c>
      <c r="E31" s="24">
        <f>Inputs!H413</f>
        <v>5</v>
      </c>
    </row>
    <row r="32" spans="2:5" x14ac:dyDescent="0.35">
      <c r="B32" s="3" t="s">
        <v>30</v>
      </c>
      <c r="E32" s="25">
        <f>Inputs!H514</f>
        <v>5</v>
      </c>
    </row>
    <row r="33" spans="2:5" ht="15" customHeight="1" outlineLevel="1" x14ac:dyDescent="0.35">
      <c r="C33" s="2" t="s">
        <v>31</v>
      </c>
      <c r="E33" s="24">
        <f>Inputs!H467</f>
        <v>5</v>
      </c>
    </row>
    <row r="34" spans="2:5" ht="15" customHeight="1" outlineLevel="1" x14ac:dyDescent="0.35">
      <c r="C34" s="2" t="s">
        <v>32</v>
      </c>
      <c r="E34" s="24">
        <f>Inputs!H493</f>
        <v>5</v>
      </c>
    </row>
    <row r="35" spans="2:5" ht="15" customHeight="1" outlineLevel="1" x14ac:dyDescent="0.35">
      <c r="C35" s="2" t="s">
        <v>33</v>
      </c>
      <c r="E35" s="24">
        <f>Inputs!H512</f>
        <v>5</v>
      </c>
    </row>
    <row r="36" spans="2:5" x14ac:dyDescent="0.35">
      <c r="B36" s="3" t="s">
        <v>34</v>
      </c>
      <c r="E36" s="25">
        <f>Inputs!H583</f>
        <v>2.9333333333333336</v>
      </c>
    </row>
    <row r="37" spans="2:5" ht="15" customHeight="1" outlineLevel="1" x14ac:dyDescent="0.35">
      <c r="C37" s="2" t="s">
        <v>35</v>
      </c>
      <c r="E37" s="24">
        <f>Inputs!H546</f>
        <v>4.3333333333333339</v>
      </c>
    </row>
    <row r="38" spans="2:5" ht="15" customHeight="1" outlineLevel="1" x14ac:dyDescent="0.35">
      <c r="C38" s="2" t="s">
        <v>36</v>
      </c>
      <c r="E38" s="24">
        <f>Inputs!H569</f>
        <v>2</v>
      </c>
    </row>
    <row r="39" spans="2:5" ht="15" customHeight="1" outlineLevel="1" x14ac:dyDescent="0.35">
      <c r="C39" s="2" t="s">
        <v>37</v>
      </c>
      <c r="E39" s="24" t="str">
        <f>Inputs!H576</f>
        <v>N/A</v>
      </c>
    </row>
  </sheetData>
  <conditionalFormatting sqref="E4:E5 E7:E39">
    <cfRule type="cellIs" dxfId="34" priority="16" operator="between">
      <formula>4.5</formula>
      <formula>5</formula>
    </cfRule>
    <cfRule type="cellIs" dxfId="33" priority="17" operator="between">
      <formula>3.4</formula>
      <formula>4.4999</formula>
    </cfRule>
    <cfRule type="cellIs" dxfId="32" priority="18" operator="between">
      <formula>2.5</formula>
      <formula>3.4999</formula>
    </cfRule>
    <cfRule type="cellIs" dxfId="31" priority="19" operator="between">
      <formula>1.5</formula>
      <formula>2.4999</formula>
    </cfRule>
    <cfRule type="cellIs" dxfId="30" priority="20" operator="between">
      <formula>1</formula>
      <formula>1.4999</formula>
    </cfRule>
    <cfRule type="cellIs" dxfId="29" priority="21" operator="between">
      <formula>1.5</formula>
      <formula>2.5</formula>
    </cfRule>
    <cfRule type="cellIs" dxfId="28" priority="22" operator="between">
      <formula>1</formula>
      <formula>1.5</formula>
    </cfRule>
    <cfRule type="cellIs" dxfId="27" priority="23" operator="equal">
      <formula>"NA"</formula>
    </cfRule>
    <cfRule type="cellIs" dxfId="26" priority="24" operator="equal">
      <formula>"FAIL"</formula>
    </cfRule>
    <cfRule type="cellIs" dxfId="25" priority="25" operator="equal">
      <formula>"PASS"</formula>
    </cfRule>
    <cfRule type="cellIs" dxfId="24" priority="26" operator="between">
      <formula>1</formula>
      <formula>1.4999</formula>
    </cfRule>
    <cfRule type="cellIs" dxfId="23" priority="27" operator="between">
      <formula>1.5</formula>
      <formula>2.4999</formula>
    </cfRule>
    <cfRule type="cellIs" dxfId="22" priority="28" operator="between">
      <formula>2.5</formula>
      <formula>3.4999</formula>
    </cfRule>
    <cfRule type="cellIs" dxfId="21" priority="29" operator="between">
      <formula>3.5</formula>
      <formula>4.4999</formula>
    </cfRule>
    <cfRule type="cellIs" dxfId="20" priority="30" operator="between">
      <formula>4.5</formula>
      <formula>5</formula>
    </cfRule>
  </conditionalFormatting>
  <conditionalFormatting sqref="E4">
    <cfRule type="cellIs" dxfId="19" priority="31" operator="between">
      <formula>4.5</formula>
      <formula>5</formula>
    </cfRule>
    <cfRule type="cellIs" dxfId="18" priority="33" operator="between">
      <formula>44320</formula>
      <formula>5</formula>
    </cfRule>
    <cfRule type="colorScale" priority="34">
      <colorScale>
        <cfvo type="num" val="5"/>
        <cfvo type="max"/>
        <color rgb="FF00B050"/>
        <color rgb="FFFFEF9C"/>
      </colorScale>
    </cfRule>
    <cfRule type="colorScale" priority="35">
      <colorScale>
        <cfvo type="num" val="5"/>
        <cfvo type="max"/>
        <color theme="9" tint="-0.249977111117893"/>
        <color rgb="FFFFEF9C"/>
      </colorScale>
    </cfRule>
    <cfRule type="cellIs" priority="36" operator="equal">
      <formula>5</formula>
    </cfRule>
    <cfRule type="colorScale" priority="37">
      <colorScale>
        <cfvo type="num" val="0"/>
        <cfvo type="max"/>
        <color theme="9" tint="-0.249977111117893"/>
        <color rgb="FFFFEF9C"/>
      </colorScale>
    </cfRule>
  </conditionalFormatting>
  <conditionalFormatting sqref="E6">
    <cfRule type="cellIs" dxfId="17" priority="1" operator="between">
      <formula>4.5</formula>
      <formula>5</formula>
    </cfRule>
    <cfRule type="cellIs" dxfId="16" priority="2" operator="between">
      <formula>3.4</formula>
      <formula>4.4999</formula>
    </cfRule>
    <cfRule type="cellIs" dxfId="15" priority="3" operator="between">
      <formula>2.5</formula>
      <formula>3.4999</formula>
    </cfRule>
    <cfRule type="cellIs" dxfId="14" priority="4" operator="between">
      <formula>1.5</formula>
      <formula>2.4999</formula>
    </cfRule>
    <cfRule type="cellIs" dxfId="13" priority="5" operator="between">
      <formula>1</formula>
      <formula>1.4999</formula>
    </cfRule>
    <cfRule type="cellIs" dxfId="12" priority="6" operator="between">
      <formula>1.5</formula>
      <formula>2.5</formula>
    </cfRule>
    <cfRule type="cellIs" dxfId="11" priority="7" operator="between">
      <formula>1</formula>
      <formula>1.5</formula>
    </cfRule>
    <cfRule type="cellIs" dxfId="10" priority="8" operator="equal">
      <formula>"NA"</formula>
    </cfRule>
    <cfRule type="cellIs" dxfId="9" priority="9" operator="equal">
      <formula>"FAIL"</formula>
    </cfRule>
    <cfRule type="cellIs" dxfId="8" priority="10" operator="equal">
      <formula>"PASS"</formula>
    </cfRule>
    <cfRule type="cellIs" dxfId="7" priority="11" operator="between">
      <formula>1</formula>
      <formula>1.4999</formula>
    </cfRule>
    <cfRule type="cellIs" dxfId="6" priority="12" operator="between">
      <formula>1.5</formula>
      <formula>2.4999</formula>
    </cfRule>
    <cfRule type="cellIs" dxfId="5" priority="13" operator="between">
      <formula>2.5</formula>
      <formula>3.4999</formula>
    </cfRule>
    <cfRule type="cellIs" dxfId="4" priority="14" operator="between">
      <formula>3.5</formula>
      <formula>4.4999</formula>
    </cfRule>
    <cfRule type="cellIs" dxfId="3" priority="15" operator="between">
      <formula>4.5</formula>
      <formula>5</formula>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FAEE-2034-46BE-956E-FAE718AF01FC}">
  <dimension ref="A2:R609"/>
  <sheetViews>
    <sheetView topLeftCell="A484" zoomScale="60" zoomScaleNormal="60" workbookViewId="0">
      <selection activeCell="E587" sqref="E587"/>
    </sheetView>
  </sheetViews>
  <sheetFormatPr baseColWidth="10" defaultColWidth="10.58203125" defaultRowHeight="15.5" outlineLevelRow="1" x14ac:dyDescent="0.35"/>
  <cols>
    <col min="1" max="1" width="3.33203125" style="2" customWidth="1"/>
    <col min="2" max="4" width="3.33203125" style="12" customWidth="1"/>
    <col min="5" max="5" width="9.5" style="12" customWidth="1"/>
    <col min="6" max="6" width="66" style="2" customWidth="1"/>
    <col min="7" max="7" width="70.08203125" style="34" customWidth="1"/>
    <col min="8" max="8" width="10.5" style="4" customWidth="1"/>
    <col min="9" max="16384" width="10.58203125" style="2"/>
  </cols>
  <sheetData>
    <row r="2" spans="2:10" x14ac:dyDescent="0.35">
      <c r="B2" s="11" t="s">
        <v>38</v>
      </c>
      <c r="C2" s="11"/>
      <c r="D2" s="11"/>
      <c r="E2" s="11"/>
    </row>
    <row r="4" spans="2:10" x14ac:dyDescent="0.35">
      <c r="B4" s="11" t="s">
        <v>39</v>
      </c>
      <c r="C4" s="11"/>
      <c r="D4" s="11"/>
      <c r="E4" s="11"/>
      <c r="G4" s="123"/>
      <c r="I4" s="4"/>
    </row>
    <row r="5" spans="2:10" x14ac:dyDescent="0.35">
      <c r="B5" s="14" t="s">
        <v>40</v>
      </c>
      <c r="C5" s="14"/>
      <c r="D5" s="14"/>
      <c r="E5" s="14"/>
      <c r="G5" s="123"/>
      <c r="I5" s="4"/>
    </row>
    <row r="6" spans="2:10" ht="17.25" customHeight="1" x14ac:dyDescent="0.35">
      <c r="B6" s="12" t="s">
        <v>41</v>
      </c>
      <c r="G6" s="124" t="s">
        <v>42</v>
      </c>
      <c r="I6" s="4"/>
    </row>
    <row r="7" spans="2:10" x14ac:dyDescent="0.35">
      <c r="B7" s="12" t="s">
        <v>43</v>
      </c>
      <c r="G7" s="124" t="s">
        <v>44</v>
      </c>
      <c r="I7" s="4"/>
      <c r="J7" s="3"/>
    </row>
    <row r="8" spans="2:10" x14ac:dyDescent="0.35">
      <c r="B8" s="12" t="s">
        <v>45</v>
      </c>
      <c r="G8" s="124" t="s">
        <v>46</v>
      </c>
      <c r="I8" s="4"/>
    </row>
    <row r="9" spans="2:10" x14ac:dyDescent="0.35">
      <c r="B9" s="12" t="s">
        <v>47</v>
      </c>
      <c r="G9" s="124" t="s">
        <v>48</v>
      </c>
      <c r="I9" s="4"/>
    </row>
    <row r="10" spans="2:10" ht="15.75" customHeight="1" x14ac:dyDescent="0.35">
      <c r="B10" s="59"/>
      <c r="C10" s="59"/>
      <c r="D10" s="59"/>
      <c r="E10" s="59"/>
      <c r="F10" s="62"/>
      <c r="G10" s="63"/>
      <c r="I10" s="110"/>
    </row>
    <row r="11" spans="2:10" x14ac:dyDescent="0.35">
      <c r="B11" s="11" t="s">
        <v>49</v>
      </c>
      <c r="C11" s="11"/>
      <c r="D11" s="11"/>
      <c r="E11" s="11"/>
    </row>
    <row r="12" spans="2:10" x14ac:dyDescent="0.35">
      <c r="B12" s="11"/>
      <c r="C12" s="11"/>
      <c r="D12" s="11"/>
      <c r="E12" s="11"/>
    </row>
    <row r="13" spans="2:10" x14ac:dyDescent="0.35">
      <c r="B13" s="11" t="s">
        <v>50</v>
      </c>
      <c r="C13" s="11"/>
      <c r="D13" s="11"/>
      <c r="E13" s="11"/>
    </row>
    <row r="14" spans="2:10" x14ac:dyDescent="0.35">
      <c r="B14" s="11"/>
      <c r="C14" s="11"/>
      <c r="D14" s="11"/>
      <c r="E14" s="11"/>
    </row>
    <row r="15" spans="2:10" x14ac:dyDescent="0.35">
      <c r="C15" s="11" t="s">
        <v>51</v>
      </c>
      <c r="D15" s="11"/>
      <c r="E15" s="11"/>
    </row>
    <row r="16" spans="2:10" s="12" customFormat="1" x14ac:dyDescent="0.35">
      <c r="D16" s="61" t="s">
        <v>52</v>
      </c>
      <c r="E16" s="61"/>
      <c r="F16" s="61"/>
      <c r="G16" s="92" t="s">
        <v>53</v>
      </c>
      <c r="H16" s="16"/>
    </row>
    <row r="17" spans="2:9" s="12" customFormat="1" ht="34.5" customHeight="1" x14ac:dyDescent="0.35">
      <c r="D17" s="1" t="s">
        <v>54</v>
      </c>
      <c r="E17" s="1"/>
      <c r="F17" s="1"/>
      <c r="G17" s="29" t="s">
        <v>55</v>
      </c>
      <c r="H17" s="16"/>
      <c r="I17" s="16"/>
    </row>
    <row r="18" spans="2:9" x14ac:dyDescent="0.35">
      <c r="C18" s="11"/>
      <c r="D18" s="11"/>
      <c r="E18" s="11"/>
    </row>
    <row r="19" spans="2:9" s="12" customFormat="1" x14ac:dyDescent="0.35">
      <c r="B19" s="11"/>
      <c r="C19" s="11"/>
      <c r="D19" s="60" t="s">
        <v>56</v>
      </c>
      <c r="F19" s="60" t="s">
        <v>52</v>
      </c>
      <c r="G19" s="92" t="s">
        <v>53</v>
      </c>
      <c r="H19" s="17" t="s">
        <v>57</v>
      </c>
    </row>
    <row r="20" spans="2:9" s="12" customFormat="1" ht="46.5" x14ac:dyDescent="0.35">
      <c r="D20" s="72" t="s">
        <v>58</v>
      </c>
      <c r="E20" s="65"/>
      <c r="F20" s="65" t="s">
        <v>59</v>
      </c>
      <c r="G20" s="45" t="s">
        <v>60</v>
      </c>
      <c r="H20" s="46">
        <f>IF(G17="Yes","N/A",IF(G20=G21,5,IF(G20=G22,3,1)))</f>
        <v>5</v>
      </c>
    </row>
    <row r="21" spans="2:9" s="12" customFormat="1" ht="46.5" hidden="1" x14ac:dyDescent="0.35">
      <c r="F21" s="59"/>
      <c r="G21" s="37" t="s">
        <v>60</v>
      </c>
      <c r="H21" s="31"/>
    </row>
    <row r="22" spans="2:9" s="12" customFormat="1" ht="62" hidden="1" x14ac:dyDescent="0.35">
      <c r="F22" s="59"/>
      <c r="G22" s="37" t="s">
        <v>61</v>
      </c>
      <c r="H22" s="31"/>
    </row>
    <row r="23" spans="2:9" s="12" customFormat="1" ht="46.5" hidden="1" x14ac:dyDescent="0.35">
      <c r="F23" s="59"/>
      <c r="G23" s="37" t="s">
        <v>62</v>
      </c>
      <c r="H23" s="31"/>
    </row>
    <row r="24" spans="2:9" s="112" customFormat="1" ht="47.15" customHeight="1" x14ac:dyDescent="0.35">
      <c r="D24" s="112" t="s">
        <v>63</v>
      </c>
      <c r="E24" s="66"/>
      <c r="F24" s="112" t="s">
        <v>64</v>
      </c>
      <c r="G24" s="29" t="s">
        <v>65</v>
      </c>
      <c r="H24" s="143">
        <f>IF(G17="Yes","N/A",IF(G24=G25,5,IF(OR(G24=G26,G24=G27),3,IF(G24=G28,2,1))))</f>
        <v>1</v>
      </c>
    </row>
    <row r="25" spans="2:9" ht="46.5" hidden="1" x14ac:dyDescent="0.35">
      <c r="B25" s="11"/>
      <c r="C25" s="11"/>
      <c r="D25" s="11"/>
      <c r="E25" s="11"/>
      <c r="G25" s="34" t="s">
        <v>66</v>
      </c>
    </row>
    <row r="26" spans="2:9" ht="31" hidden="1" x14ac:dyDescent="0.35">
      <c r="B26" s="11"/>
      <c r="C26" s="11"/>
      <c r="D26" s="11"/>
      <c r="E26" s="11"/>
      <c r="G26" s="34" t="s">
        <v>67</v>
      </c>
    </row>
    <row r="27" spans="2:9" ht="46.5" hidden="1" x14ac:dyDescent="0.35">
      <c r="B27" s="11"/>
      <c r="C27" s="11"/>
      <c r="D27" s="11"/>
      <c r="E27" s="11"/>
      <c r="G27" s="34" t="s">
        <v>68</v>
      </c>
    </row>
    <row r="28" spans="2:9" ht="31" hidden="1" x14ac:dyDescent="0.35">
      <c r="B28" s="11"/>
      <c r="C28" s="11"/>
      <c r="D28" s="11"/>
      <c r="E28" s="11"/>
      <c r="G28" s="34" t="s">
        <v>69</v>
      </c>
    </row>
    <row r="29" spans="2:9" ht="31" hidden="1" x14ac:dyDescent="0.35">
      <c r="B29" s="11"/>
      <c r="C29" s="11"/>
      <c r="D29" s="11"/>
      <c r="E29" s="11"/>
      <c r="G29" s="34" t="s">
        <v>65</v>
      </c>
    </row>
    <row r="30" spans="2:9" s="12" customFormat="1" x14ac:dyDescent="0.35">
      <c r="D30" s="8" t="s">
        <v>70</v>
      </c>
      <c r="E30" s="8"/>
      <c r="F30" s="8"/>
      <c r="G30" s="125"/>
      <c r="H30" s="13">
        <f>IF(G17="Yes",5,0.7*H20+0.3*H24)</f>
        <v>3.8</v>
      </c>
    </row>
    <row r="31" spans="2:9" ht="16.5" customHeight="1" x14ac:dyDescent="0.35">
      <c r="B31" s="11"/>
      <c r="C31" s="11"/>
      <c r="D31" s="11"/>
      <c r="E31" s="11"/>
    </row>
    <row r="32" spans="2:9" x14ac:dyDescent="0.35">
      <c r="C32" s="11" t="s">
        <v>71</v>
      </c>
      <c r="D32" s="11"/>
      <c r="E32" s="11"/>
    </row>
    <row r="33" spans="3:8" s="12" customFormat="1" x14ac:dyDescent="0.35">
      <c r="D33" s="60" t="s">
        <v>56</v>
      </c>
      <c r="E33" s="60"/>
      <c r="F33" s="60" t="s">
        <v>52</v>
      </c>
      <c r="G33" s="92" t="s">
        <v>53</v>
      </c>
      <c r="H33" s="17" t="s">
        <v>72</v>
      </c>
    </row>
    <row r="34" spans="3:8" s="12" customFormat="1" ht="31" x14ac:dyDescent="0.35">
      <c r="D34" s="102" t="s">
        <v>73</v>
      </c>
      <c r="E34" s="47"/>
      <c r="F34" s="160" t="s">
        <v>74</v>
      </c>
      <c r="G34" s="48" t="s">
        <v>75</v>
      </c>
      <c r="H34" s="46">
        <f>IF(G34=G35,5,IF(G34=G36,2,1))</f>
        <v>1</v>
      </c>
    </row>
    <row r="35" spans="3:8" s="12" customFormat="1" hidden="1" x14ac:dyDescent="0.35">
      <c r="F35" s="62"/>
      <c r="G35" s="38" t="s">
        <v>76</v>
      </c>
      <c r="H35" s="30"/>
    </row>
    <row r="36" spans="3:8" s="12" customFormat="1" hidden="1" x14ac:dyDescent="0.35">
      <c r="F36" s="62"/>
      <c r="G36" s="38" t="s">
        <v>77</v>
      </c>
      <c r="H36" s="30"/>
    </row>
    <row r="37" spans="3:8" s="12" customFormat="1" ht="31" hidden="1" x14ac:dyDescent="0.35">
      <c r="F37" s="62"/>
      <c r="G37" s="38" t="s">
        <v>75</v>
      </c>
      <c r="H37" s="30"/>
    </row>
    <row r="38" spans="3:8" s="12" customFormat="1" ht="31" x14ac:dyDescent="0.35">
      <c r="D38" s="68" t="s">
        <v>78</v>
      </c>
      <c r="E38" s="60"/>
      <c r="F38" s="62" t="s">
        <v>79</v>
      </c>
      <c r="G38" s="29" t="s">
        <v>80</v>
      </c>
      <c r="H38" s="16">
        <f>IF(G38="Yes",1,0)</f>
        <v>1</v>
      </c>
    </row>
    <row r="39" spans="3:8" s="12" customFormat="1" x14ac:dyDescent="0.35">
      <c r="D39" s="12" t="s">
        <v>81</v>
      </c>
      <c r="F39" s="8"/>
      <c r="G39" s="125"/>
      <c r="H39" s="13">
        <f>IF(G38="No",H34,IF(AND(G38="Yes",H34=5),H34,H34+1))</f>
        <v>2</v>
      </c>
    </row>
    <row r="40" spans="3:8" s="12" customFormat="1" x14ac:dyDescent="0.35">
      <c r="G40" s="34"/>
      <c r="H40" s="31"/>
    </row>
    <row r="41" spans="3:8" s="12" customFormat="1" x14ac:dyDescent="0.35">
      <c r="G41" s="34"/>
      <c r="H41" s="31"/>
    </row>
    <row r="42" spans="3:8" s="12" customFormat="1" x14ac:dyDescent="0.35">
      <c r="C42" s="173" t="s">
        <v>52</v>
      </c>
      <c r="D42" s="173"/>
      <c r="E42" s="173"/>
      <c r="F42" s="173"/>
      <c r="G42" s="92" t="s">
        <v>53</v>
      </c>
      <c r="H42" s="31"/>
    </row>
    <row r="43" spans="3:8" s="12" customFormat="1" x14ac:dyDescent="0.35">
      <c r="C43" s="174" t="s">
        <v>82</v>
      </c>
      <c r="D43" s="174"/>
      <c r="E43" s="174"/>
      <c r="F43" s="174"/>
      <c r="G43" s="29" t="s">
        <v>83</v>
      </c>
      <c r="H43" s="30"/>
    </row>
    <row r="44" spans="3:8" s="12" customFormat="1" x14ac:dyDescent="0.35">
      <c r="C44" s="11"/>
      <c r="D44" s="154"/>
      <c r="E44" s="154"/>
      <c r="F44" s="154"/>
      <c r="G44" s="30"/>
      <c r="H44" s="30"/>
    </row>
    <row r="45" spans="3:8" x14ac:dyDescent="0.35">
      <c r="C45" s="11" t="s">
        <v>84</v>
      </c>
      <c r="D45" s="11"/>
      <c r="E45" s="11"/>
    </row>
    <row r="46" spans="3:8" s="12" customFormat="1" x14ac:dyDescent="0.35">
      <c r="D46" s="60" t="s">
        <v>56</v>
      </c>
      <c r="E46" s="60"/>
      <c r="F46" s="60" t="s">
        <v>52</v>
      </c>
      <c r="G46" s="92" t="s">
        <v>53</v>
      </c>
      <c r="H46" s="17" t="s">
        <v>57</v>
      </c>
    </row>
    <row r="47" spans="3:8" s="12" customFormat="1" x14ac:dyDescent="0.35">
      <c r="D47" s="64" t="s">
        <v>85</v>
      </c>
      <c r="E47" s="64"/>
      <c r="F47" s="65" t="s">
        <v>86</v>
      </c>
      <c r="G47" s="45">
        <v>0.12</v>
      </c>
      <c r="H47" s="50">
        <f>IF(G43="Barriers","N/A",MAX(1,6-((1+4*(0+G47)^2))))</f>
        <v>4.9424000000000001</v>
      </c>
    </row>
    <row r="48" spans="3:8" s="12" customFormat="1" x14ac:dyDescent="0.35">
      <c r="D48" s="69" t="s">
        <v>87</v>
      </c>
      <c r="E48" s="69"/>
      <c r="F48" s="74" t="s">
        <v>88</v>
      </c>
      <c r="G48" s="78">
        <v>2.57</v>
      </c>
      <c r="H48" s="53">
        <f>IF(G43="Barriers","N/A",IF(G48&gt;=1.1,5,MAX(1,6-(1+4*((1-G48)^2)))))</f>
        <v>5</v>
      </c>
    </row>
    <row r="49" spans="2:8" s="12" customFormat="1" ht="17.25" customHeight="1" x14ac:dyDescent="0.35">
      <c r="D49" s="70" t="s">
        <v>89</v>
      </c>
      <c r="E49" s="70"/>
      <c r="F49" s="62" t="s">
        <v>90</v>
      </c>
      <c r="G49" s="29">
        <v>2.75</v>
      </c>
      <c r="H49" s="16">
        <f>IF(G43="Barriers","N/A",IF(G49&gt;=2,5,(4/(1+EXP(-1.9*4*G49+6)*(4/1-1))+1)))</f>
        <v>5</v>
      </c>
    </row>
    <row r="50" spans="2:8" s="12" customFormat="1" x14ac:dyDescent="0.35">
      <c r="D50" s="8" t="s">
        <v>91</v>
      </c>
      <c r="E50" s="8"/>
      <c r="F50" s="9"/>
      <c r="G50" s="126"/>
      <c r="H50" s="13">
        <f>IF(G43="Barriers","N/A",MAX(1, 6-(0.4*((6-H47)^1.3)+0.4*((6-H48)^1.3)+0.2*((6-H49)^1.3))))</f>
        <v>4.9697926102086312</v>
      </c>
    </row>
    <row r="51" spans="2:8" x14ac:dyDescent="0.35">
      <c r="B51" s="11"/>
      <c r="C51" s="11"/>
      <c r="D51" s="11"/>
      <c r="E51" s="11"/>
    </row>
    <row r="52" spans="2:8" s="12" customFormat="1" x14ac:dyDescent="0.35">
      <c r="C52" s="11" t="s">
        <v>92</v>
      </c>
      <c r="D52" s="11"/>
      <c r="E52" s="11"/>
      <c r="F52" s="11"/>
      <c r="G52" s="44"/>
      <c r="H52" s="20"/>
    </row>
    <row r="53" spans="2:8" s="12" customFormat="1" x14ac:dyDescent="0.35">
      <c r="B53" s="11"/>
      <c r="C53" s="11"/>
      <c r="D53" s="168" t="s">
        <v>52</v>
      </c>
      <c r="E53" s="168"/>
      <c r="F53" s="168"/>
      <c r="G53" s="92" t="s">
        <v>53</v>
      </c>
      <c r="H53" s="17" t="s">
        <v>57</v>
      </c>
    </row>
    <row r="54" spans="2:8" s="12" customFormat="1" ht="46.5" x14ac:dyDescent="0.35">
      <c r="D54" s="176" t="s">
        <v>93</v>
      </c>
      <c r="E54" s="176"/>
      <c r="F54" s="176"/>
      <c r="G54" s="29" t="s">
        <v>94</v>
      </c>
      <c r="H54" s="32">
        <f>IF(G43="Financial Attractiveness","N/A",IF(G54=G55,5,IF(G54=G56,4,IF(G54=G57,3,IF(G54=G58,2,1)))))</f>
        <v>1</v>
      </c>
    </row>
    <row r="55" spans="2:8" s="12" customFormat="1" ht="31" hidden="1" x14ac:dyDescent="0.35">
      <c r="F55" s="59"/>
      <c r="G55" s="38" t="s">
        <v>95</v>
      </c>
      <c r="H55" s="30"/>
    </row>
    <row r="56" spans="2:8" s="12" customFormat="1" ht="62" hidden="1" x14ac:dyDescent="0.35">
      <c r="F56" s="59"/>
      <c r="G56" s="38" t="s">
        <v>96</v>
      </c>
      <c r="H56" s="30"/>
    </row>
    <row r="57" spans="2:8" s="12" customFormat="1" ht="31" hidden="1" x14ac:dyDescent="0.35">
      <c r="F57" s="59"/>
      <c r="G57" s="38" t="s">
        <v>97</v>
      </c>
      <c r="H57" s="30"/>
    </row>
    <row r="58" spans="2:8" s="12" customFormat="1" ht="31" hidden="1" x14ac:dyDescent="0.35">
      <c r="F58" s="59"/>
      <c r="G58" s="38" t="s">
        <v>98</v>
      </c>
      <c r="H58" s="30"/>
    </row>
    <row r="59" spans="2:8" s="12" customFormat="1" ht="46.5" hidden="1" x14ac:dyDescent="0.35">
      <c r="F59" s="59"/>
      <c r="G59" s="38" t="s">
        <v>94</v>
      </c>
      <c r="H59" s="30"/>
    </row>
    <row r="60" spans="2:8" s="12" customFormat="1" x14ac:dyDescent="0.35">
      <c r="D60" s="60"/>
      <c r="E60" s="60"/>
      <c r="F60" s="40"/>
      <c r="G60" s="40"/>
      <c r="H60" s="41"/>
    </row>
    <row r="61" spans="2:8" s="12" customFormat="1" x14ac:dyDescent="0.35">
      <c r="C61" s="9" t="s">
        <v>99</v>
      </c>
      <c r="D61" s="9"/>
      <c r="E61" s="8"/>
      <c r="F61" s="42"/>
      <c r="G61" s="42"/>
      <c r="H61" s="18">
        <f>IF(OR(G43="Financial attractiveness",AND(G43="Financial attractiveness and barriers",H50&gt;=H54)),MAX(1,6-(0.4*((6-$H$30)^1.3)+0.2*((6-$H$39)^1.3)+0.4*((6-$H$50)^1.3))),MAX(1,6-(0.4*((6-$H$30)^1.3)+0.2*((6-$H$39)^1.3)+0.4*((6-$H$54)^1.3))))</f>
        <v>3.2568160965159056</v>
      </c>
    </row>
    <row r="62" spans="2:8" x14ac:dyDescent="0.35">
      <c r="B62" s="11"/>
      <c r="C62" s="11"/>
      <c r="D62" s="11"/>
      <c r="E62" s="11"/>
    </row>
    <row r="63" spans="2:8" x14ac:dyDescent="0.35">
      <c r="B63" s="11" t="s">
        <v>100</v>
      </c>
      <c r="C63" s="11"/>
      <c r="D63" s="11"/>
      <c r="E63" s="11"/>
    </row>
    <row r="64" spans="2:8" s="12" customFormat="1" x14ac:dyDescent="0.35">
      <c r="B64" s="11"/>
      <c r="C64" s="61" t="s">
        <v>52</v>
      </c>
      <c r="D64" s="61"/>
      <c r="E64" s="61"/>
      <c r="F64" s="60"/>
      <c r="G64" s="92" t="s">
        <v>53</v>
      </c>
      <c r="H64" s="17" t="s">
        <v>57</v>
      </c>
    </row>
    <row r="65" spans="2:8" s="12" customFormat="1" x14ac:dyDescent="0.35">
      <c r="B65" s="11"/>
      <c r="C65" s="56" t="s">
        <v>101</v>
      </c>
      <c r="D65" s="56"/>
      <c r="E65" s="56"/>
      <c r="F65" s="51"/>
      <c r="G65" s="45" t="s">
        <v>102</v>
      </c>
      <c r="H65" s="49"/>
    </row>
    <row r="66" spans="2:8" s="12" customFormat="1" x14ac:dyDescent="0.35">
      <c r="B66" s="11"/>
      <c r="C66" s="12" t="s">
        <v>103</v>
      </c>
      <c r="E66" s="71"/>
      <c r="G66" s="29" t="s">
        <v>104</v>
      </c>
      <c r="H66" s="16">
        <f>IF(G66="High Vulnerability",5,IF(G66="Low Vulnerability",1,3))</f>
        <v>3</v>
      </c>
    </row>
    <row r="67" spans="2:8" s="12" customFormat="1" x14ac:dyDescent="0.35">
      <c r="C67" s="9" t="s">
        <v>105</v>
      </c>
      <c r="D67" s="9"/>
      <c r="E67" s="8"/>
      <c r="F67" s="42"/>
      <c r="G67" s="42"/>
      <c r="H67" s="18">
        <f>IF(G65="The market is functioning","N/A",H66)</f>
        <v>3</v>
      </c>
    </row>
    <row r="68" spans="2:8" x14ac:dyDescent="0.35">
      <c r="B68" s="11"/>
      <c r="C68" s="11"/>
      <c r="D68" s="11"/>
      <c r="E68" s="11"/>
    </row>
    <row r="69" spans="2:8" x14ac:dyDescent="0.35">
      <c r="B69" s="11" t="s">
        <v>106</v>
      </c>
      <c r="C69" s="11"/>
      <c r="D69" s="11"/>
      <c r="E69" s="11"/>
    </row>
    <row r="70" spans="2:8" x14ac:dyDescent="0.35">
      <c r="B70" s="11"/>
      <c r="C70" s="11"/>
      <c r="D70" s="11"/>
      <c r="E70" s="11"/>
    </row>
    <row r="71" spans="2:8" x14ac:dyDescent="0.35">
      <c r="C71" s="11" t="s">
        <v>107</v>
      </c>
      <c r="D71" s="11"/>
      <c r="E71" s="11"/>
    </row>
    <row r="72" spans="2:8" s="12" customFormat="1" x14ac:dyDescent="0.35">
      <c r="D72" s="60" t="s">
        <v>56</v>
      </c>
      <c r="E72" s="60"/>
      <c r="F72" s="60" t="s">
        <v>52</v>
      </c>
      <c r="G72" s="92" t="s">
        <v>53</v>
      </c>
      <c r="H72" s="17" t="s">
        <v>72</v>
      </c>
    </row>
    <row r="73" spans="2:8" s="12" customFormat="1" ht="31" x14ac:dyDescent="0.35">
      <c r="D73" s="72" t="s">
        <v>108</v>
      </c>
      <c r="E73" s="72"/>
      <c r="F73" s="65" t="s">
        <v>109</v>
      </c>
      <c r="G73" s="45" t="s">
        <v>80</v>
      </c>
      <c r="H73" s="49">
        <f>IF(G73="Yes",2,0)</f>
        <v>2</v>
      </c>
    </row>
    <row r="74" spans="2:8" s="12" customFormat="1" ht="62" x14ac:dyDescent="0.35">
      <c r="D74" s="73" t="s">
        <v>110</v>
      </c>
      <c r="E74" s="73"/>
      <c r="F74" s="75" t="s">
        <v>111</v>
      </c>
      <c r="G74" s="78" t="s">
        <v>80</v>
      </c>
      <c r="H74" s="53">
        <f>IF(G74="Yes",1,0)</f>
        <v>1</v>
      </c>
    </row>
    <row r="75" spans="2:8" s="12" customFormat="1" ht="31" x14ac:dyDescent="0.35">
      <c r="D75" s="73" t="s">
        <v>112</v>
      </c>
      <c r="E75" s="73"/>
      <c r="F75" s="75" t="s">
        <v>113</v>
      </c>
      <c r="G75" s="78" t="s">
        <v>80</v>
      </c>
      <c r="H75" s="53">
        <f>IF(G75="Yes",2,0)</f>
        <v>2</v>
      </c>
    </row>
    <row r="76" spans="2:8" s="12" customFormat="1" ht="31" x14ac:dyDescent="0.35">
      <c r="D76" s="73" t="s">
        <v>114</v>
      </c>
      <c r="E76" s="73"/>
      <c r="F76" s="75" t="s">
        <v>115</v>
      </c>
      <c r="G76" s="78" t="s">
        <v>80</v>
      </c>
      <c r="H76" s="53">
        <f>IF(G76="Yes",2,0)</f>
        <v>2</v>
      </c>
    </row>
    <row r="77" spans="2:8" s="12" customFormat="1" ht="31" x14ac:dyDescent="0.35">
      <c r="D77" s="73" t="s">
        <v>116</v>
      </c>
      <c r="E77" s="73"/>
      <c r="F77" s="75" t="s">
        <v>117</v>
      </c>
      <c r="G77" s="78" t="s">
        <v>55</v>
      </c>
      <c r="H77" s="53">
        <f>IF(G77="Yes",1,0)</f>
        <v>0</v>
      </c>
    </row>
    <row r="78" spans="2:8" s="59" customFormat="1" ht="46.5" x14ac:dyDescent="0.35">
      <c r="D78" s="73" t="s">
        <v>118</v>
      </c>
      <c r="E78" s="76"/>
      <c r="F78" s="77" t="s">
        <v>119</v>
      </c>
      <c r="G78" s="78" t="s">
        <v>55</v>
      </c>
      <c r="H78" s="58">
        <f>IF(G78="Yes",1,0)</f>
        <v>0</v>
      </c>
    </row>
    <row r="79" spans="2:8" s="12" customFormat="1" ht="31" x14ac:dyDescent="0.35">
      <c r="D79" s="73" t="s">
        <v>120</v>
      </c>
      <c r="E79" s="73"/>
      <c r="F79" s="75" t="s">
        <v>121</v>
      </c>
      <c r="G79" s="78" t="s">
        <v>80</v>
      </c>
      <c r="H79" s="53">
        <f>IF(G79="Yes",1,0)</f>
        <v>1</v>
      </c>
    </row>
    <row r="80" spans="2:8" s="12" customFormat="1" ht="31" x14ac:dyDescent="0.35">
      <c r="D80" s="73" t="s">
        <v>122</v>
      </c>
      <c r="E80" s="73"/>
      <c r="F80" s="74" t="s">
        <v>123</v>
      </c>
      <c r="G80" s="78" t="s">
        <v>124</v>
      </c>
      <c r="H80" s="53">
        <f>IF(G80="Emission reductions or removals must be determined in a conservative manner",2,IF(G80="Emission reductions or removals must be determined in a conservative manner (unless they can be determined with very high accuracy)",1,0))</f>
        <v>1</v>
      </c>
    </row>
    <row r="81" spans="4:8" s="12" customFormat="1" ht="46.5" x14ac:dyDescent="0.35">
      <c r="D81" s="73" t="s">
        <v>125</v>
      </c>
      <c r="E81" s="73"/>
      <c r="F81" s="75" t="s">
        <v>126</v>
      </c>
      <c r="G81" s="78" t="s">
        <v>55</v>
      </c>
      <c r="H81" s="53">
        <f>IF(G81="Yes",1,0)</f>
        <v>0</v>
      </c>
    </row>
    <row r="82" spans="4:8" s="12" customFormat="1" ht="31" x14ac:dyDescent="0.35">
      <c r="D82" s="73" t="s">
        <v>127</v>
      </c>
      <c r="E82" s="73"/>
      <c r="F82" s="75" t="s">
        <v>128</v>
      </c>
      <c r="G82" s="78" t="s">
        <v>55</v>
      </c>
      <c r="H82" s="53">
        <f>IF(G82="Yes",1,0)</f>
        <v>0</v>
      </c>
    </row>
    <row r="83" spans="4:8" s="12" customFormat="1" ht="31" x14ac:dyDescent="0.35">
      <c r="D83" s="73" t="s">
        <v>129</v>
      </c>
      <c r="E83" s="73"/>
      <c r="F83" s="75" t="s">
        <v>130</v>
      </c>
      <c r="G83" s="78" t="s">
        <v>80</v>
      </c>
      <c r="H83" s="53">
        <f>IF(G83="Yes",2,0)</f>
        <v>2</v>
      </c>
    </row>
    <row r="84" spans="4:8" s="12" customFormat="1" ht="46.5" x14ac:dyDescent="0.35">
      <c r="D84" s="73" t="s">
        <v>131</v>
      </c>
      <c r="E84" s="73"/>
      <c r="F84" s="75" t="s">
        <v>132</v>
      </c>
      <c r="G84" s="78" t="s">
        <v>55</v>
      </c>
      <c r="H84" s="53">
        <f>IF(G84="Yes",1,0)</f>
        <v>0</v>
      </c>
    </row>
    <row r="85" spans="4:8" s="12" customFormat="1" ht="31" x14ac:dyDescent="0.35">
      <c r="D85" s="73" t="s">
        <v>133</v>
      </c>
      <c r="E85" s="73"/>
      <c r="F85" s="75" t="s">
        <v>134</v>
      </c>
      <c r="G85" s="78" t="s">
        <v>80</v>
      </c>
      <c r="H85" s="53">
        <f>IF(G85="Yes",1,0)</f>
        <v>1</v>
      </c>
    </row>
    <row r="86" spans="4:8" s="12" customFormat="1" x14ac:dyDescent="0.35">
      <c r="D86" s="73" t="s">
        <v>135</v>
      </c>
      <c r="E86" s="73"/>
      <c r="F86" s="74" t="s">
        <v>136</v>
      </c>
      <c r="G86" s="78" t="s">
        <v>137</v>
      </c>
      <c r="H86" s="53">
        <f>IF(G86=G87,3,IF(G86=G88,2,IF(G86=G89,1,0)))</f>
        <v>1</v>
      </c>
    </row>
    <row r="87" spans="4:8" s="12" customFormat="1" hidden="1" x14ac:dyDescent="0.35">
      <c r="D87" s="73"/>
      <c r="E87" s="73"/>
      <c r="F87" s="74"/>
      <c r="G87" s="127" t="s">
        <v>138</v>
      </c>
      <c r="H87" s="53"/>
    </row>
    <row r="88" spans="4:8" s="12" customFormat="1" hidden="1" x14ac:dyDescent="0.35">
      <c r="D88" s="73"/>
      <c r="E88" s="73"/>
      <c r="F88" s="74"/>
      <c r="G88" s="58" t="s">
        <v>139</v>
      </c>
      <c r="H88" s="53"/>
    </row>
    <row r="89" spans="4:8" s="12" customFormat="1" hidden="1" x14ac:dyDescent="0.35">
      <c r="D89" s="73"/>
      <c r="E89" s="73"/>
      <c r="F89" s="74"/>
      <c r="G89" s="58" t="s">
        <v>137</v>
      </c>
      <c r="H89" s="53"/>
    </row>
    <row r="90" spans="4:8" s="12" customFormat="1" ht="31" hidden="1" x14ac:dyDescent="0.35">
      <c r="D90" s="73"/>
      <c r="E90" s="73"/>
      <c r="F90" s="74"/>
      <c r="G90" s="58" t="s">
        <v>140</v>
      </c>
      <c r="H90" s="53"/>
    </row>
    <row r="91" spans="4:8" s="12" customFormat="1" ht="31" x14ac:dyDescent="0.35">
      <c r="D91" s="73" t="s">
        <v>141</v>
      </c>
      <c r="E91" s="73"/>
      <c r="F91" s="75" t="s">
        <v>142</v>
      </c>
      <c r="G91" s="78" t="s">
        <v>80</v>
      </c>
      <c r="H91" s="53">
        <f>IF(G91="Yes",1,0)</f>
        <v>1</v>
      </c>
    </row>
    <row r="92" spans="4:8" s="12" customFormat="1" ht="46.5" x14ac:dyDescent="0.35">
      <c r="D92" s="79" t="s">
        <v>143</v>
      </c>
      <c r="E92" s="79"/>
      <c r="F92" s="80" t="s">
        <v>144</v>
      </c>
      <c r="G92" s="97" t="s">
        <v>80</v>
      </c>
      <c r="H92" s="81">
        <f>IF(G92="Yes",2,0)</f>
        <v>2</v>
      </c>
    </row>
    <row r="93" spans="4:8" s="11" customFormat="1" x14ac:dyDescent="0.35">
      <c r="D93" s="10" t="s">
        <v>145</v>
      </c>
      <c r="E93" s="10"/>
      <c r="F93" s="10"/>
      <c r="G93" s="128"/>
      <c r="H93" s="145">
        <f>SUM(H73:H92)</f>
        <v>16</v>
      </c>
    </row>
    <row r="94" spans="4:8" s="12" customFormat="1" hidden="1" x14ac:dyDescent="0.35">
      <c r="D94" s="12" t="s">
        <v>146</v>
      </c>
      <c r="G94" s="34"/>
      <c r="H94" s="36">
        <v>24</v>
      </c>
    </row>
    <row r="95" spans="4:8" s="12" customFormat="1" hidden="1" x14ac:dyDescent="0.35">
      <c r="D95" s="60" t="s">
        <v>147</v>
      </c>
      <c r="E95" s="60"/>
      <c r="F95" s="60"/>
      <c r="G95" s="92"/>
      <c r="H95" s="82">
        <v>4.8</v>
      </c>
    </row>
    <row r="96" spans="4:8" s="12" customFormat="1" x14ac:dyDescent="0.35">
      <c r="D96" s="8" t="s">
        <v>148</v>
      </c>
      <c r="E96" s="8"/>
      <c r="F96" s="8"/>
      <c r="G96" s="125"/>
      <c r="H96" s="13">
        <f>MAX(1,1+MIN((H93-H95)/(H94-H95)*4,4))</f>
        <v>3.3333333333333335</v>
      </c>
    </row>
    <row r="97" spans="2:9" s="12" customFormat="1" x14ac:dyDescent="0.35">
      <c r="B97" s="11"/>
      <c r="C97" s="11"/>
      <c r="D97" s="11"/>
      <c r="E97" s="11"/>
      <c r="F97" s="11"/>
      <c r="G97" s="44"/>
      <c r="H97" s="20"/>
    </row>
    <row r="98" spans="2:9" s="12" customFormat="1" x14ac:dyDescent="0.35">
      <c r="C98" s="11" t="s">
        <v>149</v>
      </c>
      <c r="D98" s="11"/>
      <c r="E98" s="11"/>
      <c r="F98" s="11"/>
      <c r="G98" s="44"/>
      <c r="H98" s="20"/>
    </row>
    <row r="99" spans="2:9" s="12" customFormat="1" x14ac:dyDescent="0.35">
      <c r="B99" s="11"/>
      <c r="C99" s="11"/>
      <c r="D99" s="168" t="s">
        <v>52</v>
      </c>
      <c r="E99" s="168"/>
      <c r="F99" s="168"/>
      <c r="G99" s="92" t="s">
        <v>53</v>
      </c>
      <c r="H99" s="17" t="s">
        <v>57</v>
      </c>
    </row>
    <row r="100" spans="2:9" s="12" customFormat="1" ht="77.5" x14ac:dyDescent="0.35">
      <c r="D100" s="1" t="s">
        <v>150</v>
      </c>
      <c r="E100" s="1"/>
      <c r="F100" s="1"/>
      <c r="G100" s="39" t="s">
        <v>151</v>
      </c>
      <c r="H100" s="13">
        <f>IF(G100=G101,5,IF(G100=G102,4,IF(G100=G103,3,IF(G100=G104,2,1))))</f>
        <v>3</v>
      </c>
    </row>
    <row r="101" spans="2:9" ht="31" hidden="1" x14ac:dyDescent="0.35">
      <c r="C101" s="11"/>
      <c r="D101" s="11"/>
      <c r="E101" s="11"/>
      <c r="G101" s="34" t="s">
        <v>152</v>
      </c>
    </row>
    <row r="102" spans="2:9" ht="46.5" hidden="1" x14ac:dyDescent="0.35">
      <c r="C102" s="11"/>
      <c r="D102" s="11"/>
      <c r="E102" s="11"/>
      <c r="G102" s="34" t="s">
        <v>153</v>
      </c>
    </row>
    <row r="103" spans="2:9" ht="77.5" hidden="1" x14ac:dyDescent="0.35">
      <c r="C103" s="11"/>
      <c r="D103" s="11"/>
      <c r="E103" s="11"/>
      <c r="G103" s="34" t="s">
        <v>151</v>
      </c>
    </row>
    <row r="104" spans="2:9" ht="62" hidden="1" x14ac:dyDescent="0.35">
      <c r="C104" s="11"/>
      <c r="D104" s="11"/>
      <c r="E104" s="11"/>
      <c r="G104" s="34" t="s">
        <v>154</v>
      </c>
    </row>
    <row r="105" spans="2:9" ht="46.5" hidden="1" x14ac:dyDescent="0.35">
      <c r="C105" s="11"/>
      <c r="D105" s="11"/>
      <c r="E105" s="11"/>
      <c r="G105" s="34" t="s">
        <v>155</v>
      </c>
    </row>
    <row r="106" spans="2:9" x14ac:dyDescent="0.35">
      <c r="C106" s="11"/>
      <c r="D106" s="11"/>
      <c r="E106" s="11"/>
    </row>
    <row r="107" spans="2:9" s="12" customFormat="1" x14ac:dyDescent="0.35">
      <c r="C107" s="9" t="s">
        <v>156</v>
      </c>
      <c r="D107" s="9"/>
      <c r="E107" s="8"/>
      <c r="F107" s="42"/>
      <c r="G107" s="42"/>
      <c r="H107" s="18">
        <f>0.15*$H$96+0.85*$H$100</f>
        <v>3.05</v>
      </c>
    </row>
    <row r="108" spans="2:9" s="12" customFormat="1" x14ac:dyDescent="0.35">
      <c r="D108" s="11"/>
      <c r="F108" s="59"/>
      <c r="G108" s="59"/>
      <c r="H108" s="20"/>
    </row>
    <row r="109" spans="2:9" s="12" customFormat="1" ht="16" thickBot="1" x14ac:dyDescent="0.4">
      <c r="B109" s="15" t="s">
        <v>157</v>
      </c>
      <c r="C109" s="15"/>
      <c r="D109" s="15"/>
      <c r="E109" s="15"/>
      <c r="F109" s="15"/>
      <c r="G109" s="129"/>
      <c r="H109" s="21">
        <f>IF($G$65="The market is functioning",MAX(1,6-(0.65*((6-$H$61)^1.3)+0.35*((6-$H$107)^1.3))),MAX(1,6-(0.65*((6-$H$67)^1.3)+0.35*((6-$H$107)^1.3))))</f>
        <v>1.8603844545677228</v>
      </c>
    </row>
    <row r="110" spans="2:9" ht="15.75" customHeight="1" thickTop="1" x14ac:dyDescent="0.35">
      <c r="C110" s="59"/>
      <c r="D110" s="59"/>
      <c r="E110" s="59"/>
      <c r="F110" s="62"/>
      <c r="G110" s="123"/>
      <c r="I110" s="110"/>
    </row>
    <row r="111" spans="2:9" s="12" customFormat="1" x14ac:dyDescent="0.35">
      <c r="B111" s="11" t="s">
        <v>158</v>
      </c>
      <c r="C111" s="11"/>
      <c r="D111" s="11"/>
      <c r="E111" s="11"/>
      <c r="G111" s="34"/>
      <c r="H111" s="16"/>
    </row>
    <row r="112" spans="2:9" s="12" customFormat="1" x14ac:dyDescent="0.35">
      <c r="B112" s="11"/>
      <c r="C112" s="11"/>
      <c r="D112" s="11"/>
      <c r="E112" s="11"/>
      <c r="G112" s="34"/>
      <c r="H112" s="16"/>
    </row>
    <row r="113" spans="2:8" s="12" customFormat="1" x14ac:dyDescent="0.35">
      <c r="B113" s="11" t="s">
        <v>159</v>
      </c>
      <c r="C113" s="11"/>
      <c r="D113" s="11"/>
      <c r="E113" s="11"/>
      <c r="G113" s="34"/>
      <c r="H113" s="16"/>
    </row>
    <row r="114" spans="2:8" s="12" customFormat="1" x14ac:dyDescent="0.35">
      <c r="C114" s="60" t="s">
        <v>56</v>
      </c>
      <c r="D114" s="60"/>
      <c r="E114" s="60"/>
      <c r="F114" s="61" t="s">
        <v>52</v>
      </c>
      <c r="G114" s="92" t="s">
        <v>53</v>
      </c>
      <c r="H114" s="17" t="s">
        <v>72</v>
      </c>
    </row>
    <row r="115" spans="2:8" s="12" customFormat="1" ht="15.75" customHeight="1" x14ac:dyDescent="0.35">
      <c r="C115" s="70" t="s">
        <v>160</v>
      </c>
      <c r="D115" s="70"/>
      <c r="F115" s="161" t="s">
        <v>161</v>
      </c>
      <c r="G115" s="29" t="s">
        <v>80</v>
      </c>
      <c r="H115" s="16">
        <f>IF(G115="Yes",1,0)</f>
        <v>1</v>
      </c>
    </row>
    <row r="116" spans="2:8" s="12" customFormat="1" ht="15.75" customHeight="1" x14ac:dyDescent="0.35">
      <c r="C116" s="69" t="s">
        <v>162</v>
      </c>
      <c r="D116" s="69"/>
      <c r="E116" s="52"/>
      <c r="F116" s="75" t="s">
        <v>163</v>
      </c>
      <c r="G116" s="78" t="s">
        <v>80</v>
      </c>
      <c r="H116" s="53">
        <f t="shared" ref="H116:H128" si="0">IF(G116="Yes",1,0)</f>
        <v>1</v>
      </c>
    </row>
    <row r="117" spans="2:8" s="12" customFormat="1" ht="15.75" customHeight="1" x14ac:dyDescent="0.35">
      <c r="C117" s="69" t="s">
        <v>164</v>
      </c>
      <c r="D117" s="69"/>
      <c r="E117" s="52"/>
      <c r="F117" s="75" t="s">
        <v>165</v>
      </c>
      <c r="G117" s="78" t="s">
        <v>80</v>
      </c>
      <c r="H117" s="53">
        <f t="shared" si="0"/>
        <v>1</v>
      </c>
    </row>
    <row r="118" spans="2:8" s="12" customFormat="1" ht="31" x14ac:dyDescent="0.35">
      <c r="C118" s="101" t="s">
        <v>166</v>
      </c>
      <c r="D118" s="84"/>
      <c r="E118" s="85"/>
      <c r="F118" s="75" t="s">
        <v>632</v>
      </c>
      <c r="G118" s="58"/>
      <c r="H118" s="52"/>
    </row>
    <row r="119" spans="2:8" s="12" customFormat="1" x14ac:dyDescent="0.35">
      <c r="C119" s="157"/>
      <c r="D119" s="158"/>
      <c r="E119" s="159"/>
      <c r="F119" s="74" t="s">
        <v>167</v>
      </c>
      <c r="G119" s="78" t="s">
        <v>80</v>
      </c>
      <c r="H119" s="53">
        <f t="shared" si="0"/>
        <v>1</v>
      </c>
    </row>
    <row r="120" spans="2:8" s="12" customFormat="1" x14ac:dyDescent="0.35">
      <c r="C120" s="103"/>
      <c r="D120" s="70"/>
      <c r="F120" s="162" t="s">
        <v>168</v>
      </c>
      <c r="G120" s="78" t="s">
        <v>80</v>
      </c>
      <c r="H120" s="53">
        <f t="shared" si="0"/>
        <v>1</v>
      </c>
    </row>
    <row r="121" spans="2:8" s="12" customFormat="1" x14ac:dyDescent="0.35">
      <c r="C121" s="102"/>
      <c r="D121" s="67"/>
      <c r="E121" s="47"/>
      <c r="F121" s="74" t="s">
        <v>169</v>
      </c>
      <c r="G121" s="78" t="s">
        <v>80</v>
      </c>
      <c r="H121" s="53">
        <f t="shared" si="0"/>
        <v>1</v>
      </c>
    </row>
    <row r="122" spans="2:8" s="12" customFormat="1" ht="31" x14ac:dyDescent="0.35">
      <c r="C122" s="73" t="s">
        <v>170</v>
      </c>
      <c r="D122" s="69"/>
      <c r="E122" s="52"/>
      <c r="F122" s="75" t="s">
        <v>171</v>
      </c>
      <c r="G122" s="78" t="s">
        <v>80</v>
      </c>
      <c r="H122" s="53">
        <f>IF(G122="Yes",1,0)</f>
        <v>1</v>
      </c>
    </row>
    <row r="123" spans="2:8" s="12" customFormat="1" ht="31" x14ac:dyDescent="0.35">
      <c r="C123" s="101" t="s">
        <v>172</v>
      </c>
      <c r="D123" s="84"/>
      <c r="E123" s="85"/>
      <c r="F123" s="75" t="s">
        <v>173</v>
      </c>
      <c r="G123" s="78" t="s">
        <v>80</v>
      </c>
      <c r="H123" s="53">
        <f t="shared" si="0"/>
        <v>1</v>
      </c>
    </row>
    <row r="124" spans="2:8" s="12" customFormat="1" x14ac:dyDescent="0.35">
      <c r="C124" s="158"/>
      <c r="D124" s="158"/>
      <c r="E124" s="159"/>
      <c r="F124" s="74" t="s">
        <v>174</v>
      </c>
      <c r="G124" s="58"/>
      <c r="H124" s="53"/>
    </row>
    <row r="125" spans="2:8" s="12" customFormat="1" x14ac:dyDescent="0.35">
      <c r="C125" s="70"/>
      <c r="D125" s="70"/>
      <c r="F125" s="74" t="s">
        <v>175</v>
      </c>
      <c r="G125" s="78" t="s">
        <v>80</v>
      </c>
      <c r="H125" s="53">
        <f t="shared" si="0"/>
        <v>1</v>
      </c>
    </row>
    <row r="126" spans="2:8" s="12" customFormat="1" x14ac:dyDescent="0.35">
      <c r="C126" s="70"/>
      <c r="D126" s="70"/>
      <c r="F126" s="74" t="s">
        <v>176</v>
      </c>
      <c r="G126" s="78" t="s">
        <v>80</v>
      </c>
      <c r="H126" s="53">
        <f t="shared" si="0"/>
        <v>1</v>
      </c>
    </row>
    <row r="127" spans="2:8" s="12" customFormat="1" x14ac:dyDescent="0.35">
      <c r="C127" s="70"/>
      <c r="D127" s="70"/>
      <c r="F127" s="74" t="s">
        <v>177</v>
      </c>
      <c r="G127" s="78" t="s">
        <v>80</v>
      </c>
      <c r="H127" s="53">
        <f t="shared" si="0"/>
        <v>1</v>
      </c>
    </row>
    <row r="128" spans="2:8" s="12" customFormat="1" x14ac:dyDescent="0.35">
      <c r="C128" s="70"/>
      <c r="D128" s="70"/>
      <c r="F128" s="163" t="s">
        <v>178</v>
      </c>
      <c r="G128" s="29" t="s">
        <v>80</v>
      </c>
      <c r="H128" s="16">
        <f t="shared" si="0"/>
        <v>1</v>
      </c>
    </row>
    <row r="129" spans="2:8" s="12" customFormat="1" x14ac:dyDescent="0.35">
      <c r="C129" s="8" t="s">
        <v>145</v>
      </c>
      <c r="D129" s="8"/>
      <c r="E129" s="8"/>
      <c r="F129" s="8"/>
      <c r="G129" s="125"/>
      <c r="H129" s="13">
        <f>SUM(H111:H128)</f>
        <v>12</v>
      </c>
    </row>
    <row r="130" spans="2:8" s="12" customFormat="1" hidden="1" x14ac:dyDescent="0.35">
      <c r="C130" s="12" t="s">
        <v>146</v>
      </c>
      <c r="G130" s="34"/>
      <c r="H130" s="36">
        <v>12</v>
      </c>
    </row>
    <row r="131" spans="2:8" s="12" customFormat="1" hidden="1" x14ac:dyDescent="0.35">
      <c r="C131" s="60" t="s">
        <v>147</v>
      </c>
      <c r="D131" s="60"/>
      <c r="E131" s="60"/>
      <c r="F131" s="60"/>
      <c r="G131" s="92"/>
      <c r="H131" s="82">
        <v>2.4</v>
      </c>
    </row>
    <row r="132" spans="2:8" s="12" customFormat="1" x14ac:dyDescent="0.35">
      <c r="C132" s="9" t="s">
        <v>179</v>
      </c>
      <c r="D132" s="9"/>
      <c r="E132" s="9"/>
      <c r="F132" s="9"/>
      <c r="G132" s="126"/>
      <c r="H132" s="18">
        <f>1+MIN((H129-H131)/(H130-H131)*4,4)</f>
        <v>5</v>
      </c>
    </row>
    <row r="133" spans="2:8" s="12" customFormat="1" x14ac:dyDescent="0.35">
      <c r="G133" s="34"/>
      <c r="H133" s="36"/>
    </row>
    <row r="134" spans="2:8" s="12" customFormat="1" x14ac:dyDescent="0.35">
      <c r="B134" s="11" t="s">
        <v>180</v>
      </c>
      <c r="C134" s="11"/>
      <c r="D134" s="11"/>
      <c r="E134" s="11"/>
      <c r="G134" s="34"/>
      <c r="H134" s="16"/>
    </row>
    <row r="135" spans="2:8" s="12" customFormat="1" x14ac:dyDescent="0.35">
      <c r="B135" s="11"/>
      <c r="C135" s="11"/>
      <c r="D135" s="11"/>
      <c r="E135" s="11"/>
      <c r="G135" s="34"/>
      <c r="H135" s="16"/>
    </row>
    <row r="136" spans="2:8" s="12" customFormat="1" x14ac:dyDescent="0.35">
      <c r="C136" s="11" t="s">
        <v>181</v>
      </c>
      <c r="D136" s="11"/>
      <c r="G136" s="34"/>
      <c r="H136" s="16"/>
    </row>
    <row r="137" spans="2:8" s="12" customFormat="1" x14ac:dyDescent="0.35">
      <c r="D137" s="60" t="s">
        <v>56</v>
      </c>
      <c r="E137" s="60"/>
      <c r="F137" s="60" t="s">
        <v>52</v>
      </c>
      <c r="G137" s="92" t="s">
        <v>53</v>
      </c>
      <c r="H137" s="17" t="s">
        <v>72</v>
      </c>
    </row>
    <row r="138" spans="2:8" s="12" customFormat="1" x14ac:dyDescent="0.35">
      <c r="D138" s="64" t="s">
        <v>182</v>
      </c>
      <c r="E138" s="51"/>
      <c r="F138" s="95" t="s">
        <v>183</v>
      </c>
      <c r="G138" s="45" t="s">
        <v>80</v>
      </c>
      <c r="H138" s="49">
        <f>IF(G138="Yes",2,0)</f>
        <v>2</v>
      </c>
    </row>
    <row r="139" spans="2:8" s="12" customFormat="1" x14ac:dyDescent="0.35">
      <c r="D139" s="69" t="s">
        <v>184</v>
      </c>
      <c r="E139" s="52"/>
      <c r="F139" s="74" t="s">
        <v>185</v>
      </c>
      <c r="G139" s="78" t="s">
        <v>80</v>
      </c>
      <c r="H139" s="53">
        <f t="shared" ref="H139:H140" si="1">IF(G139="Yes",1,0)</f>
        <v>1</v>
      </c>
    </row>
    <row r="140" spans="2:8" s="12" customFormat="1" x14ac:dyDescent="0.35">
      <c r="D140" s="70" t="s">
        <v>186</v>
      </c>
      <c r="F140" s="163" t="s">
        <v>187</v>
      </c>
      <c r="G140" s="29" t="s">
        <v>80</v>
      </c>
      <c r="H140" s="16">
        <f t="shared" si="1"/>
        <v>1</v>
      </c>
    </row>
    <row r="141" spans="2:8" s="12" customFormat="1" x14ac:dyDescent="0.35">
      <c r="D141" s="8" t="s">
        <v>145</v>
      </c>
      <c r="E141" s="8"/>
      <c r="F141" s="60"/>
      <c r="G141" s="125"/>
      <c r="H141" s="32">
        <f>SUM(H138:H140)</f>
        <v>4</v>
      </c>
    </row>
    <row r="142" spans="2:8" s="12" customFormat="1" x14ac:dyDescent="0.35">
      <c r="D142" s="8" t="s">
        <v>188</v>
      </c>
      <c r="E142" s="9"/>
      <c r="G142" s="126"/>
      <c r="H142" s="13">
        <f>IF(H141=4,5,IF(H141=3,4,IF(H141=2,3,IF(H141=1,2,1))))</f>
        <v>5</v>
      </c>
    </row>
    <row r="143" spans="2:8" s="12" customFormat="1" x14ac:dyDescent="0.35">
      <c r="G143" s="34"/>
      <c r="H143" s="36"/>
    </row>
    <row r="144" spans="2:8" s="12" customFormat="1" x14ac:dyDescent="0.35">
      <c r="C144" s="11" t="s">
        <v>189</v>
      </c>
      <c r="D144" s="11"/>
      <c r="G144" s="34"/>
      <c r="H144" s="16"/>
    </row>
    <row r="145" spans="2:8" s="12" customFormat="1" x14ac:dyDescent="0.35">
      <c r="D145" s="168" t="s">
        <v>52</v>
      </c>
      <c r="E145" s="168"/>
      <c r="F145" s="168"/>
      <c r="G145" s="92" t="s">
        <v>53</v>
      </c>
    </row>
    <row r="146" spans="2:8" s="12" customFormat="1" x14ac:dyDescent="0.35">
      <c r="D146" s="177" t="s">
        <v>190</v>
      </c>
      <c r="E146" s="177"/>
      <c r="F146" s="177"/>
      <c r="G146" s="45" t="s">
        <v>80</v>
      </c>
      <c r="H146" s="50"/>
    </row>
    <row r="147" spans="2:8" s="12" customFormat="1" ht="31" x14ac:dyDescent="0.35">
      <c r="D147" s="178" t="s">
        <v>191</v>
      </c>
      <c r="E147" s="178"/>
      <c r="F147" s="178"/>
      <c r="G147" s="91" t="s">
        <v>192</v>
      </c>
      <c r="H147" s="17">
        <f>IF(OR(G147=G148,G147=G149),5,IF(G147=G150,3,1))</f>
        <v>5</v>
      </c>
    </row>
    <row r="148" spans="2:8" s="12" customFormat="1" hidden="1" x14ac:dyDescent="0.35">
      <c r="D148" s="16"/>
      <c r="G148" s="34" t="s">
        <v>193</v>
      </c>
    </row>
    <row r="149" spans="2:8" s="12" customFormat="1" ht="31" hidden="1" x14ac:dyDescent="0.35">
      <c r="D149" s="16"/>
      <c r="G149" s="111" t="s">
        <v>194</v>
      </c>
    </row>
    <row r="150" spans="2:8" s="12" customFormat="1" ht="31" hidden="1" x14ac:dyDescent="0.35">
      <c r="D150" s="16"/>
      <c r="G150" s="34" t="s">
        <v>195</v>
      </c>
    </row>
    <row r="151" spans="2:8" s="12" customFormat="1" hidden="1" x14ac:dyDescent="0.35">
      <c r="D151" s="16"/>
      <c r="G151" s="34" t="s">
        <v>196</v>
      </c>
    </row>
    <row r="152" spans="2:8" s="12" customFormat="1" x14ac:dyDescent="0.35">
      <c r="C152" s="11"/>
      <c r="D152" s="8" t="s">
        <v>197</v>
      </c>
      <c r="E152" s="9"/>
      <c r="F152" s="8"/>
      <c r="G152" s="126"/>
      <c r="H152" s="13">
        <f>IF(G146="No",5,H147)</f>
        <v>5</v>
      </c>
    </row>
    <row r="153" spans="2:8" s="12" customFormat="1" x14ac:dyDescent="0.35">
      <c r="C153" s="11"/>
      <c r="E153" s="11"/>
      <c r="G153" s="44"/>
      <c r="H153" s="20"/>
    </row>
    <row r="154" spans="2:8" s="12" customFormat="1" x14ac:dyDescent="0.35">
      <c r="C154" s="9" t="s">
        <v>198</v>
      </c>
      <c r="D154" s="9"/>
      <c r="E154" s="9"/>
      <c r="F154" s="9"/>
      <c r="G154" s="126"/>
      <c r="H154" s="18">
        <f>MAX(1,6-(0.5*((6-$H$142)^1.3)+0.5*((6-$H$152)^1.3)))</f>
        <v>5</v>
      </c>
    </row>
    <row r="155" spans="2:8" s="12" customFormat="1" x14ac:dyDescent="0.35">
      <c r="B155" s="16"/>
      <c r="C155" s="16"/>
      <c r="D155" s="16"/>
      <c r="E155" s="16"/>
      <c r="G155" s="34"/>
    </row>
    <row r="156" spans="2:8" s="12" customFormat="1" x14ac:dyDescent="0.35">
      <c r="B156" s="11" t="s">
        <v>199</v>
      </c>
      <c r="D156" s="11"/>
      <c r="E156" s="11"/>
      <c r="G156" s="34"/>
      <c r="H156" s="16"/>
    </row>
    <row r="157" spans="2:8" s="12" customFormat="1" x14ac:dyDescent="0.35">
      <c r="C157" s="60" t="s">
        <v>56</v>
      </c>
      <c r="D157" s="60"/>
      <c r="E157" s="60"/>
      <c r="F157" s="60" t="s">
        <v>52</v>
      </c>
      <c r="G157" s="92" t="s">
        <v>53</v>
      </c>
      <c r="H157" s="17" t="s">
        <v>72</v>
      </c>
    </row>
    <row r="158" spans="2:8" s="12" customFormat="1" x14ac:dyDescent="0.35">
      <c r="C158" s="64" t="s">
        <v>200</v>
      </c>
      <c r="D158" s="64"/>
      <c r="E158" s="64"/>
      <c r="F158" s="95" t="s">
        <v>201</v>
      </c>
      <c r="G158" s="45" t="s">
        <v>80</v>
      </c>
      <c r="H158" s="49">
        <f>IF(G158="Yes",2,0)</f>
        <v>2</v>
      </c>
    </row>
    <row r="159" spans="2:8" s="12" customFormat="1" x14ac:dyDescent="0.35">
      <c r="C159" s="70" t="s">
        <v>202</v>
      </c>
      <c r="D159" s="70"/>
      <c r="E159" s="70"/>
      <c r="F159" s="160" t="s">
        <v>203</v>
      </c>
      <c r="G159" s="130"/>
      <c r="H159" s="47"/>
    </row>
    <row r="160" spans="2:8" s="12" customFormat="1" x14ac:dyDescent="0.35">
      <c r="C160" s="70"/>
      <c r="D160" s="70"/>
      <c r="E160" s="70"/>
      <c r="F160" s="74" t="s">
        <v>204</v>
      </c>
      <c r="G160" s="45" t="s">
        <v>80</v>
      </c>
      <c r="H160" s="53">
        <f>IF(G160="Yes",1,0)</f>
        <v>1</v>
      </c>
    </row>
    <row r="161" spans="1:9" s="12" customFormat="1" x14ac:dyDescent="0.35">
      <c r="C161" s="70"/>
      <c r="D161" s="70"/>
      <c r="E161" s="70"/>
      <c r="F161" s="74" t="s">
        <v>205</v>
      </c>
      <c r="G161" s="45" t="s">
        <v>80</v>
      </c>
      <c r="H161" s="53">
        <f t="shared" ref="H161:H162" si="2">IF(G161="Yes",1,0)</f>
        <v>1</v>
      </c>
    </row>
    <row r="162" spans="1:9" s="12" customFormat="1" x14ac:dyDescent="0.35">
      <c r="C162" s="70"/>
      <c r="D162" s="70"/>
      <c r="E162" s="70"/>
      <c r="F162" s="74" t="s">
        <v>206</v>
      </c>
      <c r="G162" s="45" t="s">
        <v>80</v>
      </c>
      <c r="H162" s="53">
        <f t="shared" si="2"/>
        <v>1</v>
      </c>
    </row>
    <row r="163" spans="1:9" s="12" customFormat="1" x14ac:dyDescent="0.35">
      <c r="C163" s="88" t="s">
        <v>207</v>
      </c>
      <c r="D163" s="88"/>
      <c r="E163" s="88"/>
      <c r="F163" s="62" t="s">
        <v>208</v>
      </c>
      <c r="G163" s="29" t="s">
        <v>631</v>
      </c>
      <c r="H163" s="16">
        <f>IF(G163="Mandatory disclosure of information related to cancellation",3,IF(G163="Voluntary disclosure of information related to cancellation",1,0))</f>
        <v>3</v>
      </c>
    </row>
    <row r="164" spans="1:9" s="12" customFormat="1" x14ac:dyDescent="0.35">
      <c r="C164" s="10" t="s">
        <v>145</v>
      </c>
      <c r="D164" s="10"/>
      <c r="E164" s="10"/>
      <c r="F164" s="10"/>
      <c r="G164" s="128"/>
      <c r="H164" s="145">
        <f>SUM(H158:H163)</f>
        <v>8</v>
      </c>
    </row>
    <row r="165" spans="1:9" s="12" customFormat="1" hidden="1" x14ac:dyDescent="0.35">
      <c r="A165" s="12" t="s">
        <v>629</v>
      </c>
      <c r="C165" s="12" t="s">
        <v>146</v>
      </c>
      <c r="G165" s="34"/>
      <c r="H165" s="36">
        <v>8</v>
      </c>
    </row>
    <row r="166" spans="1:9" s="12" customFormat="1" hidden="1" x14ac:dyDescent="0.35">
      <c r="C166" s="60" t="s">
        <v>147</v>
      </c>
      <c r="D166" s="60"/>
      <c r="E166" s="60"/>
      <c r="F166" s="60"/>
      <c r="G166" s="92"/>
      <c r="H166" s="82">
        <v>1.6</v>
      </c>
    </row>
    <row r="167" spans="1:9" s="12" customFormat="1" x14ac:dyDescent="0.35">
      <c r="C167" s="11" t="s">
        <v>209</v>
      </c>
      <c r="D167" s="11"/>
      <c r="E167" s="11"/>
      <c r="F167" s="11"/>
      <c r="G167" s="44"/>
      <c r="H167" s="20">
        <f>MAX(1+MIN((H164-H166)/(H165-H166)*4,4))</f>
        <v>5</v>
      </c>
    </row>
    <row r="168" spans="1:9" s="12" customFormat="1" x14ac:dyDescent="0.35">
      <c r="G168" s="34"/>
      <c r="H168" s="36"/>
    </row>
    <row r="169" spans="1:9" s="12" customFormat="1" x14ac:dyDescent="0.35">
      <c r="B169" s="179" t="s">
        <v>210</v>
      </c>
      <c r="C169" s="179"/>
      <c r="D169" s="179"/>
      <c r="E169" s="179"/>
      <c r="F169" s="179"/>
      <c r="G169" s="34"/>
      <c r="H169" s="16"/>
    </row>
    <row r="170" spans="1:9" s="12" customFormat="1" x14ac:dyDescent="0.35">
      <c r="C170" s="61" t="s">
        <v>52</v>
      </c>
      <c r="D170" s="61"/>
      <c r="E170" s="61"/>
      <c r="F170" s="61"/>
      <c r="G170" s="92" t="s">
        <v>53</v>
      </c>
      <c r="H170" s="16"/>
    </row>
    <row r="171" spans="1:9" s="12" customFormat="1" ht="34.5" customHeight="1" x14ac:dyDescent="0.35">
      <c r="C171" s="1" t="s">
        <v>211</v>
      </c>
      <c r="D171" s="1"/>
      <c r="E171" s="1"/>
      <c r="F171" s="1"/>
      <c r="G171" s="29" t="s">
        <v>80</v>
      </c>
      <c r="H171" s="16"/>
      <c r="I171" s="16"/>
    </row>
    <row r="172" spans="1:9" s="12" customFormat="1" x14ac:dyDescent="0.35">
      <c r="B172" s="11"/>
      <c r="C172" s="11"/>
      <c r="D172" s="11"/>
      <c r="E172" s="11"/>
      <c r="F172" s="59"/>
      <c r="G172" s="34"/>
      <c r="H172" s="16"/>
    </row>
    <row r="173" spans="1:9" s="12" customFormat="1" x14ac:dyDescent="0.35">
      <c r="C173" s="11" t="s">
        <v>212</v>
      </c>
      <c r="E173" s="11"/>
      <c r="G173" s="34"/>
      <c r="H173" s="16"/>
    </row>
    <row r="174" spans="1:9" s="12" customFormat="1" x14ac:dyDescent="0.35">
      <c r="C174" s="14" t="s">
        <v>213</v>
      </c>
      <c r="E174" s="14"/>
      <c r="G174" s="34"/>
      <c r="H174" s="16"/>
    </row>
    <row r="175" spans="1:9" s="12" customFormat="1" x14ac:dyDescent="0.35">
      <c r="C175" s="61" t="s">
        <v>52</v>
      </c>
      <c r="D175" s="61"/>
      <c r="E175" s="61"/>
      <c r="F175" s="61"/>
      <c r="G175" s="92" t="s">
        <v>53</v>
      </c>
      <c r="H175" s="16"/>
    </row>
    <row r="176" spans="1:9" s="12" customFormat="1" x14ac:dyDescent="0.35">
      <c r="C176" s="169" t="s">
        <v>214</v>
      </c>
      <c r="D176" s="169"/>
      <c r="E176" s="169"/>
      <c r="F176" s="169"/>
      <c r="G176" s="29" t="s">
        <v>55</v>
      </c>
      <c r="H176" s="16"/>
      <c r="I176" s="16"/>
    </row>
    <row r="177" spans="3:9" s="12" customFormat="1" ht="19.5" customHeight="1" x14ac:dyDescent="0.35">
      <c r="C177" s="154"/>
      <c r="D177" s="154"/>
      <c r="E177" s="154"/>
      <c r="F177" s="154"/>
      <c r="G177" s="154"/>
      <c r="H177" s="16"/>
      <c r="I177" s="16"/>
    </row>
    <row r="178" spans="3:9" s="12" customFormat="1" x14ac:dyDescent="0.35">
      <c r="D178" s="60" t="s">
        <v>56</v>
      </c>
      <c r="E178" s="60"/>
      <c r="F178" s="60" t="s">
        <v>52</v>
      </c>
      <c r="G178" s="92" t="s">
        <v>53</v>
      </c>
      <c r="H178" s="17" t="s">
        <v>72</v>
      </c>
    </row>
    <row r="179" spans="3:9" s="12" customFormat="1" x14ac:dyDescent="0.35">
      <c r="D179" s="70" t="s">
        <v>215</v>
      </c>
      <c r="E179" s="70"/>
      <c r="F179" s="112" t="s">
        <v>216</v>
      </c>
      <c r="G179" s="29" t="s">
        <v>80</v>
      </c>
      <c r="H179" s="16">
        <f>IF(G179="Yes",3,0)</f>
        <v>3</v>
      </c>
    </row>
    <row r="180" spans="3:9" s="12" customFormat="1" x14ac:dyDescent="0.35">
      <c r="D180" s="69" t="s">
        <v>217</v>
      </c>
      <c r="E180" s="69"/>
      <c r="F180" s="74" t="s">
        <v>218</v>
      </c>
      <c r="G180" s="78" t="s">
        <v>80</v>
      </c>
      <c r="H180" s="53">
        <f>IF(G180="Yes",2,0)</f>
        <v>2</v>
      </c>
    </row>
    <row r="181" spans="3:9" s="12" customFormat="1" ht="31.5" customHeight="1" x14ac:dyDescent="0.35">
      <c r="D181" s="73" t="s">
        <v>219</v>
      </c>
      <c r="E181" s="69"/>
      <c r="F181" s="75" t="s">
        <v>220</v>
      </c>
      <c r="G181" s="78" t="s">
        <v>80</v>
      </c>
      <c r="H181" s="53">
        <f>IF(G181="Yes",1,0)</f>
        <v>1</v>
      </c>
    </row>
    <row r="182" spans="3:9" s="12" customFormat="1" x14ac:dyDescent="0.35">
      <c r="D182" s="69" t="s">
        <v>221</v>
      </c>
      <c r="E182" s="69"/>
      <c r="F182" s="74" t="s">
        <v>222</v>
      </c>
      <c r="G182" s="78" t="s">
        <v>80</v>
      </c>
      <c r="H182" s="53">
        <f>IF(G182="Yes",2,0)</f>
        <v>2</v>
      </c>
    </row>
    <row r="183" spans="3:9" s="12" customFormat="1" x14ac:dyDescent="0.35">
      <c r="D183" s="69" t="s">
        <v>223</v>
      </c>
      <c r="E183" s="69"/>
      <c r="F183" s="74" t="s">
        <v>224</v>
      </c>
      <c r="G183" s="78" t="s">
        <v>225</v>
      </c>
      <c r="H183" s="53">
        <f>IF(OR(G183="Multi-year emissions target",G183="Single-year target with multi-year trajectory or budget"),4,0)</f>
        <v>4</v>
      </c>
    </row>
    <row r="184" spans="3:9" s="12" customFormat="1" ht="32.25" customHeight="1" x14ac:dyDescent="0.35">
      <c r="D184" s="114" t="s">
        <v>226</v>
      </c>
      <c r="E184" s="89"/>
      <c r="F184" s="77" t="s">
        <v>227</v>
      </c>
      <c r="G184" s="78" t="s">
        <v>80</v>
      </c>
      <c r="H184" s="53">
        <f>IF(G184="Yes",2,0)</f>
        <v>2</v>
      </c>
    </row>
    <row r="185" spans="3:9" s="12" customFormat="1" ht="30.75" customHeight="1" x14ac:dyDescent="0.35">
      <c r="D185" s="73" t="s">
        <v>228</v>
      </c>
      <c r="E185" s="73"/>
      <c r="F185" s="75" t="s">
        <v>229</v>
      </c>
      <c r="G185" s="78" t="s">
        <v>80</v>
      </c>
      <c r="H185" s="53">
        <f>IF(G185="Yes",2,0)</f>
        <v>2</v>
      </c>
    </row>
    <row r="186" spans="3:9" s="12" customFormat="1" x14ac:dyDescent="0.35">
      <c r="D186" s="69" t="s">
        <v>230</v>
      </c>
      <c r="E186" s="69"/>
      <c r="F186" s="74" t="s">
        <v>231</v>
      </c>
      <c r="G186" s="78" t="s">
        <v>80</v>
      </c>
      <c r="H186" s="53">
        <f>IF(G186="Yes",4,0)</f>
        <v>4</v>
      </c>
    </row>
    <row r="187" spans="3:9" s="12" customFormat="1" x14ac:dyDescent="0.35">
      <c r="D187" s="69" t="s">
        <v>232</v>
      </c>
      <c r="E187" s="69"/>
      <c r="F187" s="74" t="s">
        <v>233</v>
      </c>
      <c r="G187" s="78" t="s">
        <v>80</v>
      </c>
      <c r="H187" s="53">
        <f>IF(G187="Yes",2,0)</f>
        <v>2</v>
      </c>
    </row>
    <row r="188" spans="3:9" s="12" customFormat="1" ht="31" x14ac:dyDescent="0.35">
      <c r="D188" s="73" t="s">
        <v>234</v>
      </c>
      <c r="E188" s="69"/>
      <c r="F188" s="75" t="s">
        <v>235</v>
      </c>
      <c r="G188" s="78" t="s">
        <v>80</v>
      </c>
      <c r="H188" s="53">
        <f>IF(G188="Yes",2,0)</f>
        <v>2</v>
      </c>
    </row>
    <row r="189" spans="3:9" s="12" customFormat="1" x14ac:dyDescent="0.35">
      <c r="D189" s="69" t="s">
        <v>236</v>
      </c>
      <c r="E189" s="69"/>
      <c r="F189" s="74" t="s">
        <v>237</v>
      </c>
      <c r="G189" s="78" t="s">
        <v>80</v>
      </c>
      <c r="H189" s="53">
        <f>IF(G189="Yes",4,0)</f>
        <v>4</v>
      </c>
    </row>
    <row r="190" spans="3:9" s="12" customFormat="1" x14ac:dyDescent="0.35">
      <c r="D190" s="69" t="s">
        <v>238</v>
      </c>
      <c r="E190" s="69"/>
      <c r="F190" s="74" t="s">
        <v>239</v>
      </c>
      <c r="G190" s="78" t="s">
        <v>80</v>
      </c>
      <c r="H190" s="53">
        <f>IF(G190="Yes",2,0)</f>
        <v>2</v>
      </c>
    </row>
    <row r="191" spans="3:9" s="12" customFormat="1" x14ac:dyDescent="0.35">
      <c r="D191" s="69" t="s">
        <v>240</v>
      </c>
      <c r="E191" s="69"/>
      <c r="F191" s="74" t="s">
        <v>241</v>
      </c>
      <c r="G191" s="78" t="s">
        <v>80</v>
      </c>
      <c r="H191" s="53">
        <f>IF(G191="Yes",1,0)</f>
        <v>1</v>
      </c>
    </row>
    <row r="192" spans="3:9" s="12" customFormat="1" x14ac:dyDescent="0.35">
      <c r="D192" s="70" t="s">
        <v>242</v>
      </c>
      <c r="E192" s="70"/>
      <c r="F192" s="112" t="s">
        <v>243</v>
      </c>
      <c r="G192" s="29" t="s">
        <v>80</v>
      </c>
      <c r="H192" s="16">
        <f>IF(G192="Yes",-4,0)</f>
        <v>-4</v>
      </c>
    </row>
    <row r="193" spans="3:8" s="11" customFormat="1" x14ac:dyDescent="0.35">
      <c r="D193" s="8" t="s">
        <v>145</v>
      </c>
      <c r="E193" s="8"/>
      <c r="F193" s="8"/>
      <c r="G193" s="125"/>
      <c r="H193" s="32">
        <f>SUM(H179:H192)</f>
        <v>27</v>
      </c>
    </row>
    <row r="194" spans="3:8" s="12" customFormat="1" hidden="1" x14ac:dyDescent="0.35">
      <c r="D194" s="12" t="s">
        <v>146</v>
      </c>
      <c r="G194" s="34"/>
      <c r="H194" s="36">
        <v>31</v>
      </c>
    </row>
    <row r="195" spans="3:8" s="12" customFormat="1" hidden="1" x14ac:dyDescent="0.35">
      <c r="D195" s="60" t="s">
        <v>147</v>
      </c>
      <c r="E195" s="60"/>
      <c r="F195" s="60"/>
      <c r="G195" s="92"/>
      <c r="H195" s="82">
        <v>6.2</v>
      </c>
    </row>
    <row r="196" spans="3:8" s="12" customFormat="1" x14ac:dyDescent="0.35">
      <c r="D196" s="8" t="s">
        <v>244</v>
      </c>
      <c r="E196" s="8"/>
      <c r="F196" s="8"/>
      <c r="G196" s="125"/>
      <c r="H196" s="13" t="str">
        <f>IF(OR(G171="No",G176="No"),"N/A",MAX(1,1+MIN((H193-H195)/(H194-H195)*4,4)))</f>
        <v>N/A</v>
      </c>
    </row>
    <row r="197" spans="3:8" s="12" customFormat="1" x14ac:dyDescent="0.35">
      <c r="G197" s="34"/>
      <c r="H197" s="36"/>
    </row>
    <row r="198" spans="3:8" s="12" customFormat="1" x14ac:dyDescent="0.35">
      <c r="C198" s="11" t="s">
        <v>245</v>
      </c>
      <c r="D198" s="11"/>
      <c r="E198" s="11"/>
      <c r="G198" s="34"/>
      <c r="H198" s="16"/>
    </row>
    <row r="199" spans="3:8" s="12" customFormat="1" x14ac:dyDescent="0.35">
      <c r="C199" s="14" t="s">
        <v>213</v>
      </c>
      <c r="D199" s="14"/>
      <c r="E199" s="14"/>
      <c r="G199" s="34"/>
      <c r="H199" s="16"/>
    </row>
    <row r="200" spans="3:8" s="12" customFormat="1" x14ac:dyDescent="0.35">
      <c r="D200" s="60" t="s">
        <v>56</v>
      </c>
      <c r="E200" s="60"/>
      <c r="F200" s="60" t="s">
        <v>52</v>
      </c>
      <c r="G200" s="92" t="s">
        <v>53</v>
      </c>
      <c r="H200" s="17" t="s">
        <v>72</v>
      </c>
    </row>
    <row r="201" spans="3:8" s="12" customFormat="1" ht="46.5" x14ac:dyDescent="0.35">
      <c r="D201" s="72" t="s">
        <v>246</v>
      </c>
      <c r="E201" s="64"/>
      <c r="F201" s="65" t="s">
        <v>247</v>
      </c>
      <c r="G201" s="45" t="s">
        <v>80</v>
      </c>
      <c r="H201" s="49">
        <f>IF(G201="Yes",2,0)</f>
        <v>2</v>
      </c>
    </row>
    <row r="202" spans="3:8" s="12" customFormat="1" ht="30" customHeight="1" x14ac:dyDescent="0.35">
      <c r="D202" s="73" t="s">
        <v>248</v>
      </c>
      <c r="E202" s="73"/>
      <c r="F202" s="75" t="s">
        <v>249</v>
      </c>
      <c r="G202" s="78" t="s">
        <v>80</v>
      </c>
      <c r="H202" s="53">
        <f>IF(G202="Yes",1,0)</f>
        <v>1</v>
      </c>
    </row>
    <row r="203" spans="3:8" s="12" customFormat="1" ht="31" x14ac:dyDescent="0.35">
      <c r="D203" s="101" t="s">
        <v>250</v>
      </c>
      <c r="E203" s="101"/>
      <c r="F203" s="75" t="s">
        <v>251</v>
      </c>
      <c r="G203" s="78" t="s">
        <v>252</v>
      </c>
      <c r="H203" s="53">
        <f>IF(G203="Mandatory identification of calendar year",2,IF(G203="Voluntary identification of calendar year",1,0))</f>
        <v>2</v>
      </c>
    </row>
    <row r="204" spans="3:8" s="12" customFormat="1" ht="31" x14ac:dyDescent="0.35">
      <c r="D204" s="67"/>
      <c r="E204" s="67"/>
      <c r="F204" s="75" t="s">
        <v>253</v>
      </c>
      <c r="G204" s="78" t="s">
        <v>80</v>
      </c>
      <c r="H204" s="53">
        <f>IF(G204="Yes",1,0)</f>
        <v>1</v>
      </c>
    </row>
    <row r="205" spans="3:8" s="12" customFormat="1" ht="31" x14ac:dyDescent="0.35">
      <c r="D205" s="102" t="s">
        <v>254</v>
      </c>
      <c r="E205" s="102"/>
      <c r="F205" s="75" t="s">
        <v>255</v>
      </c>
      <c r="G205" s="78" t="s">
        <v>80</v>
      </c>
      <c r="H205" s="53">
        <f>IF(G205="Yes",4,0)</f>
        <v>4</v>
      </c>
    </row>
    <row r="206" spans="3:8" s="12" customFormat="1" ht="31" x14ac:dyDescent="0.35">
      <c r="D206" s="73" t="s">
        <v>634</v>
      </c>
      <c r="E206" s="69"/>
      <c r="F206" s="75" t="s">
        <v>633</v>
      </c>
      <c r="G206" s="78" t="s">
        <v>80</v>
      </c>
      <c r="H206" s="53">
        <f>IF(G206="Yes",2,0)</f>
        <v>2</v>
      </c>
    </row>
    <row r="207" spans="3:8" s="12" customFormat="1" ht="31" x14ac:dyDescent="0.35">
      <c r="D207" s="73" t="s">
        <v>256</v>
      </c>
      <c r="E207" s="73"/>
      <c r="F207" s="75" t="s">
        <v>257</v>
      </c>
      <c r="G207" s="78" t="s">
        <v>80</v>
      </c>
      <c r="H207" s="53">
        <f>IF(G207="Yes",2,0)</f>
        <v>2</v>
      </c>
    </row>
    <row r="208" spans="3:8" s="12" customFormat="1" ht="31" x14ac:dyDescent="0.35">
      <c r="D208" s="73" t="s">
        <v>258</v>
      </c>
      <c r="E208" s="73"/>
      <c r="F208" s="75" t="s">
        <v>259</v>
      </c>
      <c r="G208" s="78" t="s">
        <v>80</v>
      </c>
      <c r="H208" s="53">
        <f>IF(G208="Yes",2,0)</f>
        <v>2</v>
      </c>
    </row>
    <row r="209" spans="2:8" s="12" customFormat="1" ht="30.75" customHeight="1" x14ac:dyDescent="0.35">
      <c r="D209" s="73" t="s">
        <v>260</v>
      </c>
      <c r="E209" s="73"/>
      <c r="F209" s="75" t="s">
        <v>261</v>
      </c>
      <c r="G209" s="78" t="s">
        <v>80</v>
      </c>
      <c r="H209" s="53">
        <f>IF(G209="Yes",1,0)</f>
        <v>1</v>
      </c>
    </row>
    <row r="210" spans="2:8" s="12" customFormat="1" ht="62" x14ac:dyDescent="0.35">
      <c r="D210" s="73" t="s">
        <v>262</v>
      </c>
      <c r="E210" s="69"/>
      <c r="F210" s="75" t="s">
        <v>263</v>
      </c>
      <c r="G210" s="78" t="s">
        <v>80</v>
      </c>
      <c r="H210" s="53">
        <f>IF(G210="Yes",1,0)</f>
        <v>1</v>
      </c>
    </row>
    <row r="211" spans="2:8" s="12" customFormat="1" ht="46.5" x14ac:dyDescent="0.35">
      <c r="D211" s="73" t="s">
        <v>264</v>
      </c>
      <c r="E211" s="69"/>
      <c r="F211" s="75" t="s">
        <v>265</v>
      </c>
      <c r="G211" s="78" t="s">
        <v>80</v>
      </c>
      <c r="H211" s="53">
        <f>IF(G211="Yes",2,0)</f>
        <v>2</v>
      </c>
    </row>
    <row r="212" spans="2:8" s="12" customFormat="1" x14ac:dyDescent="0.35">
      <c r="D212" s="70" t="s">
        <v>266</v>
      </c>
      <c r="E212" s="70"/>
      <c r="F212" s="75" t="s">
        <v>267</v>
      </c>
      <c r="G212" s="58"/>
      <c r="H212" s="52"/>
    </row>
    <row r="213" spans="2:8" s="12" customFormat="1" x14ac:dyDescent="0.35">
      <c r="F213" s="75" t="s">
        <v>268</v>
      </c>
      <c r="G213" s="78" t="s">
        <v>80</v>
      </c>
      <c r="H213" s="53">
        <f>IF(G213="Yes",1,0)</f>
        <v>1</v>
      </c>
    </row>
    <row r="214" spans="2:8" s="12" customFormat="1" x14ac:dyDescent="0.35">
      <c r="F214" s="75" t="s">
        <v>269</v>
      </c>
      <c r="G214" s="78" t="s">
        <v>80</v>
      </c>
      <c r="H214" s="53">
        <f t="shared" ref="H214:H217" si="3">IF(G214="Yes",1,0)</f>
        <v>1</v>
      </c>
    </row>
    <row r="215" spans="2:8" s="12" customFormat="1" x14ac:dyDescent="0.35">
      <c r="F215" s="75" t="s">
        <v>270</v>
      </c>
      <c r="G215" s="78" t="s">
        <v>80</v>
      </c>
      <c r="H215" s="53">
        <f t="shared" si="3"/>
        <v>1</v>
      </c>
    </row>
    <row r="216" spans="2:8" s="12" customFormat="1" x14ac:dyDescent="0.35">
      <c r="F216" s="75" t="s">
        <v>271</v>
      </c>
      <c r="G216" s="78" t="s">
        <v>80</v>
      </c>
      <c r="H216" s="53">
        <f t="shared" si="3"/>
        <v>1</v>
      </c>
    </row>
    <row r="217" spans="2:8" s="12" customFormat="1" ht="31.5" customHeight="1" x14ac:dyDescent="0.35">
      <c r="F217" s="80" t="s">
        <v>272</v>
      </c>
      <c r="G217" s="78" t="s">
        <v>80</v>
      </c>
      <c r="H217" s="81">
        <f t="shared" si="3"/>
        <v>1</v>
      </c>
    </row>
    <row r="218" spans="2:8" s="12" customFormat="1" x14ac:dyDescent="0.35">
      <c r="D218" s="8" t="s">
        <v>145</v>
      </c>
      <c r="E218" s="8"/>
      <c r="F218" s="8"/>
      <c r="G218" s="125"/>
      <c r="H218" s="13">
        <f>SUM(H201:H217)</f>
        <v>25</v>
      </c>
    </row>
    <row r="219" spans="2:8" s="12" customFormat="1" hidden="1" x14ac:dyDescent="0.35">
      <c r="D219" s="12" t="s">
        <v>146</v>
      </c>
      <c r="G219" s="34"/>
      <c r="H219" s="36">
        <v>25</v>
      </c>
    </row>
    <row r="220" spans="2:8" s="12" customFormat="1" hidden="1" x14ac:dyDescent="0.35">
      <c r="D220" s="60" t="s">
        <v>147</v>
      </c>
      <c r="E220" s="60"/>
      <c r="F220" s="60"/>
      <c r="G220" s="92"/>
      <c r="H220" s="82">
        <v>5</v>
      </c>
    </row>
    <row r="221" spans="2:8" s="12" customFormat="1" x14ac:dyDescent="0.35">
      <c r="D221" s="8" t="s">
        <v>273</v>
      </c>
      <c r="E221" s="8"/>
      <c r="F221" s="8"/>
      <c r="G221" s="125"/>
      <c r="H221" s="13">
        <f>IF(G171="No","N/A",MAX(1,1+MIN((H218-H220)/(H219-H220)*4,4)))</f>
        <v>5</v>
      </c>
    </row>
    <row r="222" spans="2:8" s="12" customFormat="1" x14ac:dyDescent="0.35">
      <c r="G222" s="34"/>
      <c r="H222" s="36"/>
    </row>
    <row r="223" spans="2:8" s="12" customFormat="1" x14ac:dyDescent="0.35">
      <c r="C223" s="11" t="s">
        <v>274</v>
      </c>
      <c r="D223" s="11"/>
      <c r="E223" s="11"/>
      <c r="G223" s="34"/>
      <c r="H223" s="16"/>
    </row>
    <row r="224" spans="2:8" s="12" customFormat="1" x14ac:dyDescent="0.35">
      <c r="B224" s="11"/>
      <c r="C224" s="11"/>
      <c r="D224" s="168" t="s">
        <v>52</v>
      </c>
      <c r="E224" s="168"/>
      <c r="F224" s="168"/>
      <c r="G224" s="92" t="s">
        <v>53</v>
      </c>
      <c r="H224" s="16" t="s">
        <v>57</v>
      </c>
    </row>
    <row r="225" spans="2:15" s="12" customFormat="1" x14ac:dyDescent="0.35">
      <c r="D225" s="177" t="s">
        <v>275</v>
      </c>
      <c r="E225" s="177"/>
      <c r="F225" s="177"/>
      <c r="G225" s="45" t="s">
        <v>80</v>
      </c>
      <c r="H225" s="50"/>
    </row>
    <row r="226" spans="2:15" s="12" customFormat="1" ht="30" customHeight="1" x14ac:dyDescent="0.35">
      <c r="B226" s="16"/>
      <c r="C226" s="16"/>
      <c r="D226" s="178" t="s">
        <v>276</v>
      </c>
      <c r="E226" s="178"/>
      <c r="F226" s="178"/>
      <c r="G226" s="91" t="s">
        <v>277</v>
      </c>
      <c r="H226" s="17">
        <f>IF(OR(G226=G227,G226=G228),5,IF(G226=G229,3,1))</f>
        <v>5</v>
      </c>
    </row>
    <row r="227" spans="2:15" s="12" customFormat="1" ht="31" hidden="1" x14ac:dyDescent="0.35">
      <c r="B227" s="16"/>
      <c r="C227" s="16"/>
      <c r="D227" s="16"/>
      <c r="E227" s="16"/>
      <c r="G227" s="111" t="s">
        <v>278</v>
      </c>
    </row>
    <row r="228" spans="2:15" s="12" customFormat="1" ht="31" hidden="1" x14ac:dyDescent="0.35">
      <c r="B228" s="16"/>
      <c r="C228" s="16"/>
      <c r="D228" s="16"/>
      <c r="E228" s="16"/>
      <c r="G228" s="34" t="s">
        <v>277</v>
      </c>
    </row>
    <row r="229" spans="2:15" s="12" customFormat="1" ht="31" hidden="1" x14ac:dyDescent="0.35">
      <c r="B229" s="16"/>
      <c r="C229" s="16"/>
      <c r="D229" s="16"/>
      <c r="E229" s="16"/>
      <c r="G229" s="111" t="s">
        <v>279</v>
      </c>
    </row>
    <row r="230" spans="2:15" s="12" customFormat="1" hidden="1" x14ac:dyDescent="0.35">
      <c r="F230" s="60"/>
      <c r="G230" s="92" t="s">
        <v>280</v>
      </c>
      <c r="H230" s="17"/>
    </row>
    <row r="231" spans="2:15" s="12" customFormat="1" x14ac:dyDescent="0.35">
      <c r="D231" s="12" t="s">
        <v>281</v>
      </c>
      <c r="G231" s="34"/>
      <c r="H231" s="36">
        <f>IF(G225="No",5,H226)</f>
        <v>5</v>
      </c>
    </row>
    <row r="232" spans="2:15" s="12" customFormat="1" x14ac:dyDescent="0.35">
      <c r="G232" s="34"/>
      <c r="H232" s="36"/>
    </row>
    <row r="233" spans="2:15" s="11" customFormat="1" x14ac:dyDescent="0.35">
      <c r="C233" s="9" t="s">
        <v>282</v>
      </c>
      <c r="D233" s="9"/>
      <c r="E233" s="9"/>
      <c r="F233" s="9"/>
      <c r="G233" s="126"/>
      <c r="H233" s="18">
        <f>IF(G171="No",H231,IF(G176="No",MAX(1,6-((1/2)*((6-H221)^1.3)+(1/2)*((6-H231)^1.3))),MAX(1,6-((1/3)*((6-H196)^1.3)+(1/3)*((6-H221)^1.3)+(1/3)*((6-H231)^1.3)))))</f>
        <v>5</v>
      </c>
      <c r="J233" s="12"/>
      <c r="O233" s="12"/>
    </row>
    <row r="234" spans="2:15" s="11" customFormat="1" x14ac:dyDescent="0.35">
      <c r="G234" s="44"/>
      <c r="H234" s="20"/>
    </row>
    <row r="235" spans="2:15" s="12" customFormat="1" ht="16" thickBot="1" x14ac:dyDescent="0.4">
      <c r="B235" s="15" t="s">
        <v>283</v>
      </c>
      <c r="C235" s="15"/>
      <c r="D235" s="15"/>
      <c r="E235" s="15"/>
      <c r="F235" s="93"/>
      <c r="G235" s="131"/>
      <c r="H235" s="21">
        <f>IF($G$171="No",MAX(1,6-(0.2*((6-$H$132)^1.3)+0.3*((6-$H$154)^1.3)+0.2*((6-$H$167)^1.3)+0.3*((6-$H$233)^1.3))),MAX(1,6-(0.1*((6-$H$132)^1.3)+0.2*((6-$H$154)^1.3)+0.1*((6-$H$167)^1.3)+0.6*((6-$H$233)^1.3))))</f>
        <v>5</v>
      </c>
    </row>
    <row r="236" spans="2:15" s="12" customFormat="1" ht="16" thickTop="1" x14ac:dyDescent="0.35">
      <c r="B236" s="11"/>
      <c r="C236" s="11"/>
      <c r="D236" s="11"/>
      <c r="E236" s="11"/>
      <c r="G236" s="132"/>
      <c r="H236" s="36"/>
    </row>
    <row r="237" spans="2:15" s="12" customFormat="1" x14ac:dyDescent="0.35">
      <c r="B237" s="11" t="s">
        <v>284</v>
      </c>
      <c r="C237" s="11"/>
      <c r="D237" s="11"/>
      <c r="E237" s="11"/>
      <c r="G237" s="34"/>
      <c r="H237" s="16"/>
    </row>
    <row r="238" spans="2:15" s="12" customFormat="1" x14ac:dyDescent="0.35">
      <c r="B238" s="11"/>
      <c r="C238" s="11"/>
      <c r="D238" s="11"/>
      <c r="E238" s="11"/>
      <c r="G238" s="34"/>
      <c r="H238" s="16"/>
    </row>
    <row r="239" spans="2:15" s="12" customFormat="1" x14ac:dyDescent="0.35">
      <c r="B239" s="11" t="s">
        <v>285</v>
      </c>
      <c r="C239" s="11"/>
      <c r="D239" s="11"/>
      <c r="E239" s="11"/>
      <c r="G239" s="34"/>
      <c r="H239" s="16"/>
    </row>
    <row r="240" spans="2:15" s="12" customFormat="1" x14ac:dyDescent="0.35">
      <c r="B240" s="11"/>
      <c r="C240" s="61" t="s">
        <v>52</v>
      </c>
      <c r="D240" s="61"/>
      <c r="E240" s="61"/>
      <c r="F240" s="61"/>
      <c r="G240" s="92" t="s">
        <v>53</v>
      </c>
    </row>
    <row r="241" spans="2:8" s="12" customFormat="1" x14ac:dyDescent="0.35">
      <c r="B241" s="11"/>
      <c r="C241" s="71" t="s">
        <v>286</v>
      </c>
      <c r="D241" s="71"/>
      <c r="E241" s="71"/>
      <c r="F241" s="71"/>
      <c r="G241" s="29" t="s">
        <v>80</v>
      </c>
    </row>
    <row r="242" spans="2:8" s="12" customFormat="1" x14ac:dyDescent="0.35">
      <c r="G242" s="34"/>
    </row>
    <row r="243" spans="2:8" s="12" customFormat="1" x14ac:dyDescent="0.35">
      <c r="B243" s="11" t="s">
        <v>287</v>
      </c>
      <c r="C243" s="11"/>
      <c r="D243" s="11"/>
      <c r="E243" s="11"/>
      <c r="G243" s="34"/>
      <c r="H243" s="16"/>
    </row>
    <row r="244" spans="2:8" s="12" customFormat="1" x14ac:dyDescent="0.35">
      <c r="B244" s="11"/>
      <c r="C244" s="11"/>
      <c r="D244" s="11"/>
      <c r="E244" s="11"/>
      <c r="G244" s="34"/>
      <c r="H244" s="16"/>
    </row>
    <row r="245" spans="2:8" s="12" customFormat="1" x14ac:dyDescent="0.35">
      <c r="C245" s="11" t="s">
        <v>288</v>
      </c>
      <c r="D245" s="11"/>
      <c r="E245" s="11"/>
      <c r="G245" s="34"/>
      <c r="H245" s="16"/>
    </row>
    <row r="246" spans="2:8" s="12" customFormat="1" x14ac:dyDescent="0.35">
      <c r="B246" s="11"/>
      <c r="C246" s="11"/>
      <c r="D246" s="168" t="s">
        <v>52</v>
      </c>
      <c r="E246" s="168"/>
      <c r="F246" s="168"/>
      <c r="G246" s="92" t="s">
        <v>53</v>
      </c>
    </row>
    <row r="247" spans="2:8" s="12" customFormat="1" x14ac:dyDescent="0.35">
      <c r="B247" s="11"/>
      <c r="C247" s="11"/>
      <c r="D247" s="164" t="s">
        <v>289</v>
      </c>
      <c r="E247" s="164"/>
      <c r="F247" s="164"/>
      <c r="G247" s="29" t="s">
        <v>290</v>
      </c>
    </row>
    <row r="248" spans="2:8" s="12" customFormat="1" hidden="1" x14ac:dyDescent="0.35">
      <c r="B248" s="11"/>
      <c r="C248" s="11"/>
      <c r="D248" s="11"/>
      <c r="E248" s="11"/>
      <c r="G248" s="133" t="s">
        <v>291</v>
      </c>
    </row>
    <row r="249" spans="2:8" s="12" customFormat="1" hidden="1" x14ac:dyDescent="0.35">
      <c r="B249" s="11"/>
      <c r="C249" s="11"/>
      <c r="D249" s="11"/>
      <c r="E249" s="11"/>
      <c r="G249" s="59" t="s">
        <v>290</v>
      </c>
    </row>
    <row r="250" spans="2:8" s="12" customFormat="1" hidden="1" x14ac:dyDescent="0.35">
      <c r="B250" s="11"/>
      <c r="C250" s="11"/>
      <c r="D250" s="11"/>
      <c r="E250" s="11"/>
      <c r="G250" s="59" t="s">
        <v>292</v>
      </c>
    </row>
    <row r="251" spans="2:8" s="12" customFormat="1" hidden="1" x14ac:dyDescent="0.35">
      <c r="B251" s="11"/>
      <c r="C251" s="11"/>
      <c r="D251" s="11"/>
      <c r="E251" s="11"/>
      <c r="G251" s="59" t="s">
        <v>293</v>
      </c>
    </row>
    <row r="252" spans="2:8" s="12" customFormat="1" x14ac:dyDescent="0.35">
      <c r="B252" s="11"/>
      <c r="C252" s="11"/>
      <c r="D252" s="11"/>
      <c r="E252" s="11"/>
      <c r="G252" s="59"/>
    </row>
    <row r="253" spans="2:8" s="12" customFormat="1" x14ac:dyDescent="0.35">
      <c r="D253" s="11" t="s">
        <v>294</v>
      </c>
      <c r="G253" s="59"/>
    </row>
    <row r="254" spans="2:8" s="12" customFormat="1" outlineLevel="1" x14ac:dyDescent="0.35">
      <c r="B254" s="11"/>
      <c r="C254" s="11"/>
      <c r="D254" s="60" t="s">
        <v>52</v>
      </c>
      <c r="E254" s="35"/>
      <c r="F254" s="60"/>
      <c r="G254" s="92" t="s">
        <v>53</v>
      </c>
      <c r="H254" s="17" t="s">
        <v>57</v>
      </c>
    </row>
    <row r="255" spans="2:8" s="12" customFormat="1" ht="32.25" customHeight="1" outlineLevel="1" x14ac:dyDescent="0.35">
      <c r="B255" s="11"/>
      <c r="C255" s="11"/>
      <c r="D255" s="165" t="s">
        <v>295</v>
      </c>
      <c r="E255" s="165"/>
      <c r="F255" s="165"/>
      <c r="G255" s="29" t="s">
        <v>55</v>
      </c>
      <c r="H255" s="16">
        <f>IF(G255="Yes",4,1)</f>
        <v>1</v>
      </c>
    </row>
    <row r="256" spans="2:8" s="12" customFormat="1" outlineLevel="1" x14ac:dyDescent="0.35">
      <c r="B256" s="11"/>
      <c r="C256" s="11"/>
      <c r="D256" s="169" t="s">
        <v>296</v>
      </c>
      <c r="E256" s="169"/>
      <c r="F256" s="169"/>
      <c r="G256" s="42"/>
      <c r="H256" s="13" t="str">
        <f>IF(G247=G248,H255,"N/A")</f>
        <v>N/A</v>
      </c>
    </row>
    <row r="257" spans="2:8" s="12" customFormat="1" x14ac:dyDescent="0.35">
      <c r="B257" s="11"/>
      <c r="C257" s="11"/>
      <c r="D257" s="11"/>
      <c r="E257" s="11"/>
      <c r="G257" s="59"/>
    </row>
    <row r="258" spans="2:8" s="12" customFormat="1" x14ac:dyDescent="0.35">
      <c r="D258" s="11" t="s">
        <v>297</v>
      </c>
      <c r="G258" s="59"/>
    </row>
    <row r="259" spans="2:8" s="12" customFormat="1" outlineLevel="1" x14ac:dyDescent="0.35">
      <c r="C259" s="11"/>
      <c r="D259" s="11" t="s">
        <v>298</v>
      </c>
      <c r="E259" s="11"/>
      <c r="G259" s="34"/>
      <c r="H259" s="16"/>
    </row>
    <row r="260" spans="2:8" s="12" customFormat="1" outlineLevel="1" x14ac:dyDescent="0.35">
      <c r="B260" s="11"/>
      <c r="C260" s="11"/>
      <c r="D260" s="60" t="s">
        <v>52</v>
      </c>
      <c r="E260" s="35"/>
      <c r="F260" s="60"/>
      <c r="G260" s="92" t="s">
        <v>53</v>
      </c>
      <c r="H260" s="17" t="s">
        <v>57</v>
      </c>
    </row>
    <row r="261" spans="2:8" s="12" customFormat="1" outlineLevel="1" x14ac:dyDescent="0.35">
      <c r="D261" s="166" t="s">
        <v>299</v>
      </c>
      <c r="E261" s="166"/>
      <c r="F261" s="166"/>
      <c r="G261" s="39" t="s">
        <v>300</v>
      </c>
      <c r="H261" s="36">
        <f>IF(G261="100 years or longer",4,IF(G261="&gt;= 60 years",3,IF(G261="&gt;= 30 years",2,1)))</f>
        <v>4</v>
      </c>
    </row>
    <row r="262" spans="2:8" s="12" customFormat="1" outlineLevel="1" x14ac:dyDescent="0.35">
      <c r="B262" s="11"/>
      <c r="C262" s="11"/>
      <c r="D262" s="11"/>
      <c r="E262" s="11"/>
      <c r="G262" s="34"/>
      <c r="H262" s="16"/>
    </row>
    <row r="263" spans="2:8" s="12" customFormat="1" outlineLevel="1" x14ac:dyDescent="0.35">
      <c r="C263" s="11"/>
      <c r="D263" s="11" t="s">
        <v>301</v>
      </c>
      <c r="E263" s="11"/>
      <c r="G263" s="34"/>
      <c r="H263" s="16"/>
    </row>
    <row r="264" spans="2:8" s="12" customFormat="1" outlineLevel="1" x14ac:dyDescent="0.35">
      <c r="B264" s="11"/>
      <c r="C264" s="11"/>
      <c r="D264" s="167" t="s">
        <v>52</v>
      </c>
      <c r="E264" s="167"/>
      <c r="F264" s="167"/>
      <c r="G264" s="92" t="s">
        <v>53</v>
      </c>
      <c r="H264" s="17" t="s">
        <v>57</v>
      </c>
    </row>
    <row r="265" spans="2:8" s="12" customFormat="1" ht="31" outlineLevel="1" x14ac:dyDescent="0.35">
      <c r="D265" s="171" t="s">
        <v>302</v>
      </c>
      <c r="E265" s="171"/>
      <c r="F265" s="171"/>
      <c r="G265" s="39" t="s">
        <v>303</v>
      </c>
      <c r="H265" s="36">
        <f>IF(G265=G592,4,IF(G265=G593,3,IF(G265=G594,2,1)))</f>
        <v>4</v>
      </c>
    </row>
    <row r="266" spans="2:8" s="12" customFormat="1" outlineLevel="1" x14ac:dyDescent="0.35">
      <c r="G266" s="34"/>
      <c r="H266" s="16"/>
    </row>
    <row r="267" spans="2:8" s="12" customFormat="1" outlineLevel="1" x14ac:dyDescent="0.35">
      <c r="C267" s="11"/>
      <c r="D267" s="11" t="s">
        <v>304</v>
      </c>
      <c r="E267" s="11"/>
      <c r="G267" s="34"/>
      <c r="H267" s="16"/>
    </row>
    <row r="268" spans="2:8" s="12" customFormat="1" outlineLevel="1" x14ac:dyDescent="0.35">
      <c r="B268" s="11"/>
      <c r="C268" s="11"/>
      <c r="D268" s="60" t="s">
        <v>52</v>
      </c>
      <c r="E268" s="35"/>
      <c r="F268" s="60"/>
      <c r="G268" s="92" t="s">
        <v>53</v>
      </c>
      <c r="H268" s="17" t="s">
        <v>57</v>
      </c>
    </row>
    <row r="269" spans="2:8" s="12" customFormat="1" outlineLevel="1" x14ac:dyDescent="0.35">
      <c r="D269" s="109" t="s">
        <v>305</v>
      </c>
      <c r="G269" s="29" t="s">
        <v>306</v>
      </c>
      <c r="H269" s="36">
        <f>IF(G269="Credits held in a buffer reserve are cancelled",4,IF(G269="Credits held in a buffer reserve stay in the reserve without retiring them",3,1))</f>
        <v>3</v>
      </c>
    </row>
    <row r="270" spans="2:8" s="12" customFormat="1" outlineLevel="1" x14ac:dyDescent="0.35">
      <c r="G270" s="34"/>
      <c r="H270" s="16"/>
    </row>
    <row r="271" spans="2:8" s="12" customFormat="1" outlineLevel="1" x14ac:dyDescent="0.35">
      <c r="C271" s="11"/>
      <c r="D271" s="11" t="s">
        <v>307</v>
      </c>
      <c r="E271" s="11"/>
      <c r="G271" s="34"/>
      <c r="H271" s="16"/>
    </row>
    <row r="272" spans="2:8" s="12" customFormat="1" outlineLevel="1" x14ac:dyDescent="0.35">
      <c r="B272" s="11"/>
      <c r="C272" s="11"/>
      <c r="D272" s="167" t="s">
        <v>52</v>
      </c>
      <c r="E272" s="167"/>
      <c r="F272" s="167"/>
      <c r="G272" s="92" t="s">
        <v>53</v>
      </c>
      <c r="H272" s="17" t="s">
        <v>57</v>
      </c>
    </row>
    <row r="273" spans="3:18" s="12" customFormat="1" outlineLevel="1" x14ac:dyDescent="0.35">
      <c r="D273" s="172" t="s">
        <v>308</v>
      </c>
      <c r="E273" s="172"/>
      <c r="F273" s="172"/>
      <c r="G273" s="29" t="s">
        <v>309</v>
      </c>
      <c r="H273" s="36">
        <f>IF(G273="All types of reversals must be compensated for",4,1)</f>
        <v>4</v>
      </c>
    </row>
    <row r="274" spans="3:18" s="12" customFormat="1" outlineLevel="1" x14ac:dyDescent="0.35">
      <c r="G274" s="34"/>
      <c r="H274" s="16"/>
    </row>
    <row r="275" spans="3:18" s="12" customFormat="1" outlineLevel="1" x14ac:dyDescent="0.35">
      <c r="C275" s="11"/>
      <c r="D275" s="11" t="s">
        <v>310</v>
      </c>
      <c r="E275" s="11"/>
      <c r="G275" s="34"/>
      <c r="H275" s="16"/>
    </row>
    <row r="276" spans="3:18" s="12" customFormat="1" outlineLevel="1" x14ac:dyDescent="0.35">
      <c r="D276" s="60" t="s">
        <v>311</v>
      </c>
      <c r="E276" s="60"/>
      <c r="F276" s="60" t="s">
        <v>52</v>
      </c>
      <c r="G276" s="92" t="s">
        <v>53</v>
      </c>
      <c r="H276" s="17" t="s">
        <v>72</v>
      </c>
    </row>
    <row r="277" spans="3:18" s="12" customFormat="1" outlineLevel="1" x14ac:dyDescent="0.35">
      <c r="D277" s="51" t="s">
        <v>312</v>
      </c>
      <c r="E277" s="51"/>
      <c r="F277" s="95" t="s">
        <v>313</v>
      </c>
      <c r="G277" s="45" t="s">
        <v>80</v>
      </c>
      <c r="H277" s="49">
        <f>IF(G277="Yes",4,0)</f>
        <v>4</v>
      </c>
    </row>
    <row r="278" spans="3:18" s="59" customFormat="1" outlineLevel="1" x14ac:dyDescent="0.35">
      <c r="D278" s="52" t="s">
        <v>314</v>
      </c>
      <c r="E278" s="83"/>
      <c r="F278" s="75" t="s">
        <v>315</v>
      </c>
      <c r="G278" s="78" t="s">
        <v>316</v>
      </c>
      <c r="H278" s="58">
        <f>IF(G278=G600,4,IF(G278=G601,2,IF(G278=G602,5,0)))</f>
        <v>5</v>
      </c>
    </row>
    <row r="279" spans="3:18" s="59" customFormat="1" ht="31" outlineLevel="1" x14ac:dyDescent="0.35">
      <c r="C279" s="12"/>
      <c r="D279" s="74" t="s">
        <v>317</v>
      </c>
      <c r="E279" s="75"/>
      <c r="F279" s="75" t="s">
        <v>318</v>
      </c>
      <c r="G279" s="78" t="s">
        <v>80</v>
      </c>
      <c r="H279" s="53">
        <f>IF(G279="Yes",2,0)</f>
        <v>2</v>
      </c>
    </row>
    <row r="280" spans="3:18" s="12" customFormat="1" outlineLevel="1" x14ac:dyDescent="0.35">
      <c r="D280" s="52" t="s">
        <v>319</v>
      </c>
      <c r="E280" s="52"/>
      <c r="F280" s="74" t="s">
        <v>320</v>
      </c>
      <c r="G280" s="78" t="s">
        <v>80</v>
      </c>
      <c r="H280" s="53">
        <f>IF(G280="Yes",6,0)</f>
        <v>6</v>
      </c>
      <c r="J280" s="59"/>
      <c r="K280" s="59"/>
      <c r="L280" s="59"/>
      <c r="M280" s="59"/>
      <c r="N280" s="59"/>
      <c r="O280" s="59"/>
      <c r="P280" s="59"/>
      <c r="Q280" s="59"/>
      <c r="R280" s="59"/>
    </row>
    <row r="281" spans="3:18" s="12" customFormat="1" outlineLevel="1" x14ac:dyDescent="0.35">
      <c r="D281" s="52" t="s">
        <v>321</v>
      </c>
      <c r="E281" s="52"/>
      <c r="F281" s="74" t="s">
        <v>322</v>
      </c>
      <c r="G281" s="78">
        <v>14.66</v>
      </c>
      <c r="H281" s="53">
        <f>IF(AND(G281&gt;=0,G281&lt;=100),G281/5,"ERROR")</f>
        <v>2.9319999999999999</v>
      </c>
      <c r="K281" s="59"/>
      <c r="L281" s="59"/>
      <c r="M281" s="59"/>
      <c r="N281" s="59"/>
      <c r="O281" s="59"/>
      <c r="P281" s="59"/>
      <c r="Q281" s="59"/>
      <c r="R281" s="59"/>
    </row>
    <row r="282" spans="3:18" s="12" customFormat="1" outlineLevel="1" x14ac:dyDescent="0.35">
      <c r="D282" s="52" t="s">
        <v>323</v>
      </c>
      <c r="E282" s="52"/>
      <c r="F282" s="74" t="s">
        <v>324</v>
      </c>
      <c r="G282" s="78" t="s">
        <v>80</v>
      </c>
      <c r="H282" s="53">
        <f>IF(G282="Yes",2,0)</f>
        <v>2</v>
      </c>
      <c r="K282" s="59"/>
      <c r="L282" s="59"/>
      <c r="M282" s="59"/>
      <c r="N282" s="59"/>
      <c r="O282" s="59"/>
      <c r="P282" s="59"/>
      <c r="Q282" s="59"/>
      <c r="R282" s="59"/>
    </row>
    <row r="283" spans="3:18" s="12" customFormat="1" outlineLevel="1" x14ac:dyDescent="0.35">
      <c r="D283" s="52" t="s">
        <v>325</v>
      </c>
      <c r="E283" s="52"/>
      <c r="F283" s="74" t="s">
        <v>326</v>
      </c>
      <c r="G283" s="78">
        <v>171</v>
      </c>
      <c r="H283" s="53">
        <f>IF(AND(G283&gt;=0,ISNUMBER(G283)),MIN(2,G283/50),"ERROR")</f>
        <v>2</v>
      </c>
      <c r="K283" s="59"/>
      <c r="L283" s="59"/>
      <c r="M283" s="59"/>
      <c r="N283" s="59"/>
      <c r="O283" s="59"/>
      <c r="P283" s="59"/>
      <c r="Q283" s="59"/>
      <c r="R283" s="59"/>
    </row>
    <row r="284" spans="3:18" s="12" customFormat="1" outlineLevel="1" x14ac:dyDescent="0.35">
      <c r="D284" s="52" t="s">
        <v>327</v>
      </c>
      <c r="E284" s="52"/>
      <c r="F284" s="74" t="s">
        <v>328</v>
      </c>
      <c r="G284" s="78">
        <v>122</v>
      </c>
      <c r="H284" s="53">
        <f>IF(AND(G284&gt;=0,ISNUMBER(G284)),MIN(2,G284/25),"ERROR")</f>
        <v>2</v>
      </c>
    </row>
    <row r="285" spans="3:18" s="12" customFormat="1" outlineLevel="1" x14ac:dyDescent="0.35">
      <c r="D285" s="52" t="s">
        <v>329</v>
      </c>
      <c r="E285" s="52"/>
      <c r="F285" s="74" t="s">
        <v>330</v>
      </c>
      <c r="G285" s="78">
        <v>24</v>
      </c>
      <c r="H285" s="53">
        <f>IF(AND(G285&gt;=0,ISNUMBER(G285)),-G285/10,"ERROR")</f>
        <v>-2.4</v>
      </c>
    </row>
    <row r="286" spans="3:18" s="12" customFormat="1" outlineLevel="1" x14ac:dyDescent="0.35">
      <c r="D286" s="52" t="s">
        <v>331</v>
      </c>
      <c r="E286" s="52"/>
      <c r="F286" s="74" t="s">
        <v>332</v>
      </c>
      <c r="G286" s="78" t="s">
        <v>55</v>
      </c>
      <c r="H286" s="53">
        <f>IF(G286="Yes",4,IF(G286="No",0,"ERROR"))</f>
        <v>0</v>
      </c>
    </row>
    <row r="287" spans="3:18" s="12" customFormat="1" outlineLevel="1" x14ac:dyDescent="0.35">
      <c r="D287" s="52" t="s">
        <v>333</v>
      </c>
      <c r="E287" s="52"/>
      <c r="F287" s="74" t="s">
        <v>334</v>
      </c>
      <c r="G287" s="78" t="s">
        <v>335</v>
      </c>
      <c r="H287" s="53">
        <f>IF(G287="NA",0,IF(G287="50% or less of the pooled buffer reserve",2,4))</f>
        <v>0</v>
      </c>
    </row>
    <row r="288" spans="3:18" s="12" customFormat="1" outlineLevel="1" x14ac:dyDescent="0.35">
      <c r="D288" s="52" t="s">
        <v>336</v>
      </c>
      <c r="E288" s="52"/>
      <c r="F288" s="74" t="s">
        <v>337</v>
      </c>
      <c r="G288" s="78" t="s">
        <v>55</v>
      </c>
      <c r="H288" s="53">
        <f>IF(G288="Yes",1,0)</f>
        <v>0</v>
      </c>
    </row>
    <row r="289" spans="2:8" s="12" customFormat="1" outlineLevel="1" x14ac:dyDescent="0.35">
      <c r="D289" s="52" t="s">
        <v>338</v>
      </c>
      <c r="E289" s="52"/>
      <c r="F289" s="74" t="s">
        <v>339</v>
      </c>
      <c r="G289" s="78"/>
      <c r="H289" s="53">
        <f>IF(AND(G289&gt;=0,G289&lt;=100),G289/10,"ERROR")</f>
        <v>0</v>
      </c>
    </row>
    <row r="290" spans="2:8" s="12" customFormat="1" outlineLevel="1" x14ac:dyDescent="0.35">
      <c r="D290" s="52" t="s">
        <v>340</v>
      </c>
      <c r="E290" s="52"/>
      <c r="F290" s="74" t="s">
        <v>341</v>
      </c>
      <c r="G290" s="78" t="s">
        <v>55</v>
      </c>
      <c r="H290" s="53">
        <f>IF(G290="Yes",1,0)</f>
        <v>0</v>
      </c>
    </row>
    <row r="291" spans="2:8" s="12" customFormat="1" outlineLevel="1" x14ac:dyDescent="0.35">
      <c r="D291" s="52" t="s">
        <v>342</v>
      </c>
      <c r="E291" s="52"/>
      <c r="F291" s="74" t="s">
        <v>343</v>
      </c>
      <c r="G291" s="78" t="s">
        <v>55</v>
      </c>
      <c r="H291" s="53">
        <f>IF(G291="Yes",1,0)</f>
        <v>0</v>
      </c>
    </row>
    <row r="292" spans="2:8" s="12" customFormat="1" outlineLevel="1" x14ac:dyDescent="0.35">
      <c r="D292" s="94" t="s">
        <v>344</v>
      </c>
      <c r="E292" s="94"/>
      <c r="F292" s="96" t="s">
        <v>345</v>
      </c>
      <c r="G292" s="97" t="s">
        <v>55</v>
      </c>
      <c r="H292" s="81">
        <f>IF(G292="Yes",1,0)</f>
        <v>0</v>
      </c>
    </row>
    <row r="293" spans="2:8" s="12" customFormat="1" outlineLevel="1" x14ac:dyDescent="0.35">
      <c r="D293" s="12" t="s">
        <v>145</v>
      </c>
      <c r="G293" s="125"/>
      <c r="H293" s="13">
        <f>SUM(H277:H292)</f>
        <v>23.532</v>
      </c>
    </row>
    <row r="294" spans="2:8" s="12" customFormat="1" outlineLevel="1" x14ac:dyDescent="0.35">
      <c r="D294" s="8" t="s">
        <v>57</v>
      </c>
      <c r="E294" s="8"/>
      <c r="F294" s="8"/>
      <c r="G294" s="125"/>
      <c r="H294" s="13">
        <f>MAX(1,1+MIN((H293-H598)/(H597-H598)*3,3))</f>
        <v>2.5420779220779224</v>
      </c>
    </row>
    <row r="295" spans="2:8" s="12" customFormat="1" outlineLevel="1" x14ac:dyDescent="0.35">
      <c r="G295" s="34"/>
      <c r="H295" s="36"/>
    </row>
    <row r="296" spans="2:8" s="12" customFormat="1" outlineLevel="1" x14ac:dyDescent="0.35">
      <c r="C296" s="11"/>
      <c r="D296" s="11" t="s">
        <v>346</v>
      </c>
      <c r="E296" s="11"/>
      <c r="G296" s="34"/>
      <c r="H296" s="16"/>
    </row>
    <row r="297" spans="2:8" s="12" customFormat="1" outlineLevel="1" x14ac:dyDescent="0.35">
      <c r="B297" s="11"/>
      <c r="C297" s="11"/>
      <c r="D297" s="168" t="s">
        <v>52</v>
      </c>
      <c r="E297" s="168"/>
      <c r="F297" s="168"/>
      <c r="G297" s="92" t="s">
        <v>53</v>
      </c>
      <c r="H297" s="17" t="s">
        <v>57</v>
      </c>
    </row>
    <row r="298" spans="2:8" s="12" customFormat="1" ht="31" outlineLevel="1" x14ac:dyDescent="0.35">
      <c r="D298" s="166" t="s">
        <v>347</v>
      </c>
      <c r="E298" s="166"/>
      <c r="F298" s="166"/>
      <c r="G298" s="29" t="s">
        <v>348</v>
      </c>
      <c r="H298" s="16">
        <f>IF(G298=G605,4,IF(G298=G606,3,1))</f>
        <v>1</v>
      </c>
    </row>
    <row r="299" spans="2:8" s="12" customFormat="1" outlineLevel="1" x14ac:dyDescent="0.35">
      <c r="D299" s="8" t="s">
        <v>349</v>
      </c>
      <c r="E299" s="8"/>
      <c r="F299" s="8"/>
      <c r="G299" s="42"/>
      <c r="H299" s="13">
        <f>IF(G247=G249,MAX(1,5-(0.25*((5-H261)^1.3)+0.15*((5-H265)^1.3)+0.15*((5-H269)^1.3)+0.1*((5-H273)^1.3)+0.25*((5-H294)^1.3)+0.1*((5-H298)^1.3))),"N/A")</f>
        <v>2.7195874968559099</v>
      </c>
    </row>
    <row r="300" spans="2:8" s="12" customFormat="1" x14ac:dyDescent="0.35">
      <c r="G300" s="59"/>
      <c r="H300" s="36"/>
    </row>
    <row r="301" spans="2:8" s="12" customFormat="1" x14ac:dyDescent="0.35">
      <c r="D301" s="175" t="s">
        <v>350</v>
      </c>
      <c r="E301" s="175"/>
      <c r="F301" s="175"/>
      <c r="G301" s="59"/>
      <c r="H301" s="16"/>
    </row>
    <row r="302" spans="2:8" s="12" customFormat="1" outlineLevel="1" x14ac:dyDescent="0.35">
      <c r="D302" s="8" t="s">
        <v>351</v>
      </c>
      <c r="E302" s="8"/>
      <c r="F302" s="8"/>
      <c r="G302" s="42"/>
      <c r="H302" s="33" t="str">
        <f>IF(G247=G250,1,"N/A")</f>
        <v>N/A</v>
      </c>
    </row>
    <row r="303" spans="2:8" s="12" customFormat="1" x14ac:dyDescent="0.35">
      <c r="D303" s="8" t="s">
        <v>352</v>
      </c>
      <c r="E303" s="8"/>
      <c r="F303" s="8"/>
      <c r="G303" s="42"/>
      <c r="H303" s="13">
        <f>IF(G247=G248,H256,IF(G247=G249,H299,IF(G247=G250,H302,1)))</f>
        <v>2.7195874968559099</v>
      </c>
    </row>
    <row r="304" spans="2:8" s="12" customFormat="1" x14ac:dyDescent="0.35">
      <c r="G304" s="59"/>
      <c r="H304" s="16"/>
    </row>
    <row r="305" spans="2:8" s="12" customFormat="1" x14ac:dyDescent="0.35">
      <c r="C305" s="11" t="s">
        <v>353</v>
      </c>
      <c r="D305" s="11"/>
      <c r="E305" s="11"/>
      <c r="G305" s="34"/>
      <c r="H305" s="16"/>
    </row>
    <row r="306" spans="2:8" s="12" customFormat="1" x14ac:dyDescent="0.35">
      <c r="B306" s="11"/>
      <c r="C306" s="11"/>
      <c r="D306" s="168" t="s">
        <v>52</v>
      </c>
      <c r="E306" s="168"/>
      <c r="F306" s="168"/>
      <c r="G306" s="92" t="s">
        <v>53</v>
      </c>
      <c r="H306" s="16"/>
    </row>
    <row r="307" spans="2:8" s="12" customFormat="1" x14ac:dyDescent="0.35">
      <c r="B307" s="11"/>
      <c r="C307" s="11"/>
      <c r="D307" s="170" t="s">
        <v>354</v>
      </c>
      <c r="E307" s="170"/>
      <c r="F307" s="170"/>
      <c r="G307" s="29" t="s">
        <v>55</v>
      </c>
      <c r="H307" s="16"/>
    </row>
    <row r="308" spans="2:8" s="12" customFormat="1" x14ac:dyDescent="0.35">
      <c r="B308" s="11"/>
      <c r="C308" s="11"/>
      <c r="D308" s="11"/>
      <c r="E308" s="11"/>
      <c r="G308" s="34"/>
      <c r="H308" s="16"/>
    </row>
    <row r="309" spans="2:8" s="12" customFormat="1" x14ac:dyDescent="0.35">
      <c r="D309" s="12" t="s">
        <v>56</v>
      </c>
      <c r="F309" s="12" t="s">
        <v>52</v>
      </c>
      <c r="G309" s="34" t="s">
        <v>53</v>
      </c>
      <c r="H309" s="16" t="s">
        <v>72</v>
      </c>
    </row>
    <row r="310" spans="2:8" s="12" customFormat="1" x14ac:dyDescent="0.35">
      <c r="D310" s="95" t="s">
        <v>355</v>
      </c>
      <c r="E310" s="95"/>
      <c r="F310" s="95" t="s">
        <v>356</v>
      </c>
      <c r="G310" s="45" t="s">
        <v>80</v>
      </c>
      <c r="H310" s="49">
        <f>IF(G310="Yes",5,0)</f>
        <v>5</v>
      </c>
    </row>
    <row r="311" spans="2:8" s="12" customFormat="1" x14ac:dyDescent="0.35">
      <c r="D311" s="74" t="s">
        <v>357</v>
      </c>
      <c r="E311" s="74"/>
      <c r="F311" s="74" t="s">
        <v>358</v>
      </c>
      <c r="G311" s="78" t="s">
        <v>80</v>
      </c>
      <c r="H311" s="53">
        <f>IF(G311="Yes",4,0)</f>
        <v>4</v>
      </c>
    </row>
    <row r="312" spans="2:8" s="12" customFormat="1" x14ac:dyDescent="0.35">
      <c r="D312" s="74" t="s">
        <v>359</v>
      </c>
      <c r="E312" s="74"/>
      <c r="F312" s="74" t="s">
        <v>360</v>
      </c>
      <c r="G312" s="78" t="s">
        <v>80</v>
      </c>
      <c r="H312" s="53">
        <f>IF(G312="Yes",3,0)</f>
        <v>3</v>
      </c>
    </row>
    <row r="313" spans="2:8" s="12" customFormat="1" x14ac:dyDescent="0.35">
      <c r="D313" s="74" t="s">
        <v>361</v>
      </c>
      <c r="E313" s="74"/>
      <c r="F313" s="74" t="s">
        <v>362</v>
      </c>
      <c r="G313" s="78" t="s">
        <v>80</v>
      </c>
      <c r="H313" s="53">
        <f>IF(G313="Yes",5,0)</f>
        <v>5</v>
      </c>
    </row>
    <row r="314" spans="2:8" s="12" customFormat="1" x14ac:dyDescent="0.35">
      <c r="D314" s="74" t="s">
        <v>363</v>
      </c>
      <c r="E314" s="74"/>
      <c r="F314" s="74" t="s">
        <v>364</v>
      </c>
      <c r="G314" s="78" t="s">
        <v>80</v>
      </c>
      <c r="H314" s="53">
        <f>IF(G314="Yes",4,0)</f>
        <v>4</v>
      </c>
    </row>
    <row r="315" spans="2:8" s="12" customFormat="1" ht="62" x14ac:dyDescent="0.35">
      <c r="D315" s="74" t="s">
        <v>365</v>
      </c>
      <c r="E315" s="74"/>
      <c r="F315" s="75" t="s">
        <v>366</v>
      </c>
      <c r="G315" s="78" t="s">
        <v>80</v>
      </c>
      <c r="H315" s="53">
        <f>IF(G315="Yes",2,0)</f>
        <v>2</v>
      </c>
    </row>
    <row r="316" spans="2:8" s="59" customFormat="1" x14ac:dyDescent="0.35">
      <c r="D316" s="96" t="s">
        <v>367</v>
      </c>
      <c r="E316" s="80"/>
      <c r="F316" s="80" t="s">
        <v>368</v>
      </c>
      <c r="G316" s="97" t="s">
        <v>293</v>
      </c>
      <c r="H316" s="144">
        <f>IF(G316="N/A",0,IF(G316="Use of legal covenants or agreements is required",4,1))</f>
        <v>0</v>
      </c>
    </row>
    <row r="317" spans="2:8" s="12" customFormat="1" x14ac:dyDescent="0.35">
      <c r="D317" s="12" t="s">
        <v>145</v>
      </c>
      <c r="G317" s="34"/>
      <c r="H317" s="36">
        <f>SUM(H310:H316)</f>
        <v>23</v>
      </c>
    </row>
    <row r="318" spans="2:8" s="12" customFormat="1" hidden="1" x14ac:dyDescent="0.35">
      <c r="D318" s="12" t="s">
        <v>146</v>
      </c>
      <c r="G318" s="34"/>
      <c r="H318" s="36">
        <v>25</v>
      </c>
    </row>
    <row r="319" spans="2:8" s="12" customFormat="1" hidden="1" x14ac:dyDescent="0.35">
      <c r="D319" s="60" t="s">
        <v>147</v>
      </c>
      <c r="E319" s="60"/>
      <c r="F319" s="60"/>
      <c r="G319" s="92"/>
      <c r="H319" s="82">
        <v>5.4</v>
      </c>
    </row>
    <row r="320" spans="2:8" s="12" customFormat="1" x14ac:dyDescent="0.35">
      <c r="D320" s="8" t="s">
        <v>369</v>
      </c>
      <c r="E320" s="9"/>
      <c r="F320" s="9"/>
      <c r="G320" s="126"/>
      <c r="H320" s="13">
        <f>IF(G307="No",1,MAX(1,1+MIN((H317-H319)/(H318-H319)*3,3)))</f>
        <v>1</v>
      </c>
    </row>
    <row r="321" spans="2:8" s="12" customFormat="1" x14ac:dyDescent="0.35">
      <c r="E321" s="11"/>
      <c r="F321" s="11"/>
      <c r="G321" s="44"/>
      <c r="H321" s="20"/>
    </row>
    <row r="322" spans="2:8" s="12" customFormat="1" ht="16" thickBot="1" x14ac:dyDescent="0.4">
      <c r="B322" s="15" t="s">
        <v>370</v>
      </c>
      <c r="C322" s="15"/>
      <c r="D322" s="15"/>
      <c r="E322" s="15"/>
      <c r="F322" s="93"/>
      <c r="G322" s="131"/>
      <c r="H322" s="21">
        <f>IF($G$241="No",5,MAX(1,5-(0.8*((5-$H$303)^1.3)+0.2*((5-H320)^1.3))))</f>
        <v>1.4512407062695392</v>
      </c>
    </row>
    <row r="323" spans="2:8" s="11" customFormat="1" ht="16" thickTop="1" x14ac:dyDescent="0.35">
      <c r="B323" s="12"/>
      <c r="C323" s="12"/>
      <c r="D323" s="12"/>
      <c r="E323" s="12"/>
      <c r="G323" s="134"/>
      <c r="H323" s="20"/>
    </row>
    <row r="324" spans="2:8" s="12" customFormat="1" x14ac:dyDescent="0.35">
      <c r="B324" s="11" t="s">
        <v>371</v>
      </c>
      <c r="C324" s="11"/>
      <c r="D324" s="11"/>
      <c r="E324" s="11"/>
      <c r="G324" s="34"/>
      <c r="H324" s="16"/>
    </row>
    <row r="325" spans="2:8" s="12" customFormat="1" x14ac:dyDescent="0.35">
      <c r="B325" s="11"/>
      <c r="C325" s="11"/>
      <c r="D325" s="11"/>
      <c r="E325" s="11"/>
      <c r="G325" s="34"/>
      <c r="H325" s="16"/>
    </row>
    <row r="326" spans="2:8" s="12" customFormat="1" x14ac:dyDescent="0.35">
      <c r="B326" s="11" t="s">
        <v>372</v>
      </c>
      <c r="C326" s="11"/>
      <c r="D326" s="11"/>
      <c r="E326" s="11"/>
      <c r="G326" s="34"/>
      <c r="H326" s="16"/>
    </row>
    <row r="327" spans="2:8" s="12" customFormat="1" x14ac:dyDescent="0.35">
      <c r="B327" s="11"/>
      <c r="C327" s="61" t="s">
        <v>52</v>
      </c>
      <c r="D327" s="61"/>
      <c r="E327" s="61"/>
      <c r="F327" s="61"/>
      <c r="G327" s="92" t="s">
        <v>53</v>
      </c>
      <c r="H327" s="17" t="s">
        <v>57</v>
      </c>
    </row>
    <row r="328" spans="2:8" s="12" customFormat="1" x14ac:dyDescent="0.35">
      <c r="B328" s="11"/>
      <c r="C328" s="71" t="s">
        <v>373</v>
      </c>
      <c r="D328" s="71"/>
      <c r="E328" s="71"/>
      <c r="F328" s="71"/>
      <c r="G328" s="29" t="s">
        <v>374</v>
      </c>
      <c r="H328" s="36">
        <f>IF(OR(G328=G330, G328=G331, G328=G332, G328=G333,G328=G334, G328=G335, G328=G336, G328=G337, G328=G338, G328=G339, G328=G340),5,IF(OR(G328= G341, G328=G342, G328=G343,G328=G344),4,IF(OR(G328=G345,G328=G346,G328=G347,G328=G348,G328=G349,G328=G350),3,IF(OR(G328=G351, G328=G352),2,"ERROR"))))</f>
        <v>5</v>
      </c>
    </row>
    <row r="329" spans="2:8" s="12" customFormat="1" hidden="1" x14ac:dyDescent="0.35">
      <c r="G329" s="120" t="s">
        <v>375</v>
      </c>
      <c r="H329" s="16"/>
    </row>
    <row r="330" spans="2:8" s="12" customFormat="1" hidden="1" x14ac:dyDescent="0.35">
      <c r="G330" s="121" t="s">
        <v>374</v>
      </c>
      <c r="H330" s="16"/>
    </row>
    <row r="331" spans="2:8" s="12" customFormat="1" hidden="1" x14ac:dyDescent="0.35">
      <c r="G331" s="121" t="s">
        <v>376</v>
      </c>
      <c r="H331" s="16"/>
    </row>
    <row r="332" spans="2:8" s="12" customFormat="1" ht="31" hidden="1" x14ac:dyDescent="0.35">
      <c r="G332" s="121" t="s">
        <v>377</v>
      </c>
      <c r="H332" s="16"/>
    </row>
    <row r="333" spans="2:8" s="12" customFormat="1" hidden="1" x14ac:dyDescent="0.35">
      <c r="G333" s="121" t="s">
        <v>378</v>
      </c>
      <c r="H333" s="16"/>
    </row>
    <row r="334" spans="2:8" s="12" customFormat="1" ht="31" hidden="1" x14ac:dyDescent="0.35">
      <c r="G334" s="121" t="s">
        <v>379</v>
      </c>
      <c r="H334" s="16"/>
    </row>
    <row r="335" spans="2:8" s="12" customFormat="1" hidden="1" x14ac:dyDescent="0.35">
      <c r="G335" s="121" t="s">
        <v>380</v>
      </c>
      <c r="H335" s="16"/>
    </row>
    <row r="336" spans="2:8" s="12" customFormat="1" hidden="1" x14ac:dyDescent="0.35">
      <c r="G336" s="121" t="s">
        <v>381</v>
      </c>
      <c r="H336" s="16"/>
    </row>
    <row r="337" spans="7:8" s="12" customFormat="1" hidden="1" x14ac:dyDescent="0.35">
      <c r="G337" s="121" t="s">
        <v>382</v>
      </c>
      <c r="H337" s="16"/>
    </row>
    <row r="338" spans="7:8" s="12" customFormat="1" hidden="1" x14ac:dyDescent="0.35">
      <c r="G338" s="121" t="s">
        <v>383</v>
      </c>
      <c r="H338" s="16"/>
    </row>
    <row r="339" spans="7:8" s="12" customFormat="1" hidden="1" x14ac:dyDescent="0.35">
      <c r="G339" s="121" t="s">
        <v>384</v>
      </c>
    </row>
    <row r="340" spans="7:8" s="12" customFormat="1" hidden="1" x14ac:dyDescent="0.35">
      <c r="G340" s="121" t="s">
        <v>385</v>
      </c>
    </row>
    <row r="341" spans="7:8" s="12" customFormat="1" hidden="1" x14ac:dyDescent="0.35">
      <c r="G341" s="121" t="s">
        <v>386</v>
      </c>
    </row>
    <row r="342" spans="7:8" s="12" customFormat="1" ht="31" hidden="1" x14ac:dyDescent="0.35">
      <c r="G342" s="121" t="s">
        <v>387</v>
      </c>
    </row>
    <row r="343" spans="7:8" s="12" customFormat="1" hidden="1" x14ac:dyDescent="0.35">
      <c r="G343" s="121" t="s">
        <v>388</v>
      </c>
    </row>
    <row r="344" spans="7:8" s="12" customFormat="1" hidden="1" x14ac:dyDescent="0.35">
      <c r="G344" s="121" t="s">
        <v>389</v>
      </c>
    </row>
    <row r="345" spans="7:8" s="12" customFormat="1" hidden="1" x14ac:dyDescent="0.35">
      <c r="G345" s="121" t="s">
        <v>390</v>
      </c>
    </row>
    <row r="346" spans="7:8" s="12" customFormat="1" hidden="1" x14ac:dyDescent="0.35">
      <c r="G346" s="121" t="s">
        <v>391</v>
      </c>
    </row>
    <row r="347" spans="7:8" s="12" customFormat="1" hidden="1" x14ac:dyDescent="0.35">
      <c r="G347" s="121" t="s">
        <v>392</v>
      </c>
    </row>
    <row r="348" spans="7:8" s="12" customFormat="1" hidden="1" x14ac:dyDescent="0.35">
      <c r="G348" s="121" t="s">
        <v>393</v>
      </c>
    </row>
    <row r="349" spans="7:8" s="12" customFormat="1" hidden="1" x14ac:dyDescent="0.35">
      <c r="G349" s="121" t="s">
        <v>394</v>
      </c>
    </row>
    <row r="350" spans="7:8" s="12" customFormat="1" ht="31" hidden="1" x14ac:dyDescent="0.35">
      <c r="G350" s="121" t="s">
        <v>395</v>
      </c>
    </row>
    <row r="351" spans="7:8" s="12" customFormat="1" hidden="1" x14ac:dyDescent="0.35">
      <c r="G351" s="121" t="s">
        <v>396</v>
      </c>
    </row>
    <row r="352" spans="7:8" s="12" customFormat="1" hidden="1" x14ac:dyDescent="0.35">
      <c r="G352" s="122" t="s">
        <v>397</v>
      </c>
    </row>
    <row r="353" spans="2:8" s="12" customFormat="1" x14ac:dyDescent="0.35">
      <c r="G353" s="34"/>
    </row>
    <row r="354" spans="2:8" s="12" customFormat="1" ht="16" thickBot="1" x14ac:dyDescent="0.4">
      <c r="B354" s="15" t="s">
        <v>398</v>
      </c>
      <c r="C354" s="15"/>
      <c r="D354" s="15"/>
      <c r="E354" s="15"/>
      <c r="F354" s="93"/>
      <c r="G354" s="131"/>
      <c r="H354" s="21">
        <f>H328</f>
        <v>5</v>
      </c>
    </row>
    <row r="355" spans="2:8" s="12" customFormat="1" ht="16" thickTop="1" x14ac:dyDescent="0.35">
      <c r="G355" s="34"/>
    </row>
    <row r="356" spans="2:8" s="12" customFormat="1" x14ac:dyDescent="0.35">
      <c r="B356" s="11" t="str">
        <f>UPPER("Quality objective 5: Strong institutional arrangements and processes of the carbon crediting program")</f>
        <v>QUALITY OBJECTIVE 5: STRONG INSTITUTIONAL ARRANGEMENTS AND PROCESSES OF THE CARBON CREDITING PROGRAM</v>
      </c>
      <c r="C356" s="11"/>
      <c r="D356" s="11"/>
      <c r="E356" s="11"/>
      <c r="G356" s="34"/>
      <c r="H356" s="16"/>
    </row>
    <row r="357" spans="2:8" s="12" customFormat="1" x14ac:dyDescent="0.35">
      <c r="B357" s="11"/>
      <c r="C357" s="11"/>
      <c r="D357" s="11"/>
      <c r="E357" s="11"/>
      <c r="G357" s="34"/>
      <c r="H357" s="16"/>
    </row>
    <row r="358" spans="2:8" s="12" customFormat="1" x14ac:dyDescent="0.35">
      <c r="B358" s="11" t="s">
        <v>399</v>
      </c>
      <c r="C358" s="11"/>
      <c r="D358" s="11"/>
      <c r="E358" s="11"/>
      <c r="G358" s="34"/>
      <c r="H358" s="16"/>
    </row>
    <row r="359" spans="2:8" s="12" customFormat="1" x14ac:dyDescent="0.35">
      <c r="C359" s="60" t="s">
        <v>56</v>
      </c>
      <c r="D359" s="60"/>
      <c r="E359" s="60"/>
      <c r="F359" s="60" t="s">
        <v>52</v>
      </c>
      <c r="G359" s="92" t="s">
        <v>53</v>
      </c>
      <c r="H359" s="17" t="s">
        <v>72</v>
      </c>
    </row>
    <row r="360" spans="2:8" s="12" customFormat="1" ht="31" x14ac:dyDescent="0.35">
      <c r="C360" s="72" t="s">
        <v>400</v>
      </c>
      <c r="D360" s="72"/>
      <c r="E360" s="72"/>
      <c r="F360" s="65" t="s">
        <v>635</v>
      </c>
      <c r="G360" s="45" t="s">
        <v>80</v>
      </c>
      <c r="H360" s="49">
        <f>IF(G360="Yes",2,IF(G360="No",0,"ERROR"))</f>
        <v>2</v>
      </c>
    </row>
    <row r="361" spans="2:8" s="12" customFormat="1" x14ac:dyDescent="0.35">
      <c r="C361" s="73" t="s">
        <v>401</v>
      </c>
      <c r="D361" s="73"/>
      <c r="E361" s="73"/>
      <c r="F361" s="74" t="s">
        <v>402</v>
      </c>
      <c r="G361" s="78" t="s">
        <v>80</v>
      </c>
      <c r="H361" s="53">
        <f>IF(G361="Yes",1,IF(G361="No",0,"ERROR"))</f>
        <v>1</v>
      </c>
    </row>
    <row r="362" spans="2:8" s="12" customFormat="1" ht="31" x14ac:dyDescent="0.35">
      <c r="C362" s="73" t="s">
        <v>403</v>
      </c>
      <c r="D362" s="73"/>
      <c r="E362" s="73"/>
      <c r="F362" s="75" t="s">
        <v>636</v>
      </c>
      <c r="G362" s="78" t="s">
        <v>80</v>
      </c>
      <c r="H362" s="53">
        <f t="shared" ref="H362:H374" si="4">IF(G362="Yes",1,IF(G362="No",0,"ERROR"))</f>
        <v>1</v>
      </c>
    </row>
    <row r="363" spans="2:8" s="12" customFormat="1" x14ac:dyDescent="0.35">
      <c r="C363" s="73" t="s">
        <v>404</v>
      </c>
      <c r="D363" s="73"/>
      <c r="E363" s="73"/>
      <c r="F363" s="74" t="s">
        <v>405</v>
      </c>
      <c r="G363" s="78" t="s">
        <v>80</v>
      </c>
      <c r="H363" s="53">
        <f t="shared" si="4"/>
        <v>1</v>
      </c>
    </row>
    <row r="364" spans="2:8" s="12" customFormat="1" x14ac:dyDescent="0.35">
      <c r="C364" s="73" t="s">
        <v>406</v>
      </c>
      <c r="D364" s="73"/>
      <c r="E364" s="73"/>
      <c r="F364" s="74" t="s">
        <v>637</v>
      </c>
      <c r="G364" s="78" t="s">
        <v>80</v>
      </c>
      <c r="H364" s="53">
        <f t="shared" si="4"/>
        <v>1</v>
      </c>
    </row>
    <row r="365" spans="2:8" s="12" customFormat="1" ht="31" x14ac:dyDescent="0.35">
      <c r="C365" s="73" t="s">
        <v>407</v>
      </c>
      <c r="D365" s="73"/>
      <c r="E365" s="73"/>
      <c r="F365" s="75" t="s">
        <v>638</v>
      </c>
      <c r="G365" s="78" t="s">
        <v>80</v>
      </c>
      <c r="H365" s="53">
        <f t="shared" si="4"/>
        <v>1</v>
      </c>
    </row>
    <row r="366" spans="2:8" s="12" customFormat="1" ht="31" x14ac:dyDescent="0.35">
      <c r="C366" s="73" t="s">
        <v>408</v>
      </c>
      <c r="D366" s="73"/>
      <c r="E366" s="73"/>
      <c r="F366" s="75" t="s">
        <v>639</v>
      </c>
      <c r="G366" s="78" t="s">
        <v>80</v>
      </c>
      <c r="H366" s="53">
        <f t="shared" si="4"/>
        <v>1</v>
      </c>
    </row>
    <row r="367" spans="2:8" s="12" customFormat="1" ht="31" x14ac:dyDescent="0.35">
      <c r="C367" s="73" t="s">
        <v>409</v>
      </c>
      <c r="D367" s="73"/>
      <c r="E367" s="73"/>
      <c r="F367" s="75" t="s">
        <v>640</v>
      </c>
      <c r="G367" s="78" t="s">
        <v>80</v>
      </c>
      <c r="H367" s="53">
        <f t="shared" si="4"/>
        <v>1</v>
      </c>
    </row>
    <row r="368" spans="2:8" s="12" customFormat="1" ht="31" x14ac:dyDescent="0.35">
      <c r="C368" s="73" t="s">
        <v>410</v>
      </c>
      <c r="D368" s="73"/>
      <c r="E368" s="73"/>
      <c r="F368" s="75" t="s">
        <v>641</v>
      </c>
      <c r="G368" s="78" t="s">
        <v>80</v>
      </c>
      <c r="H368" s="53">
        <f t="shared" si="4"/>
        <v>1</v>
      </c>
    </row>
    <row r="369" spans="2:8" s="12" customFormat="1" x14ac:dyDescent="0.35">
      <c r="C369" s="73" t="s">
        <v>411</v>
      </c>
      <c r="D369" s="73"/>
      <c r="E369" s="73"/>
      <c r="F369" s="74" t="s">
        <v>412</v>
      </c>
      <c r="G369" s="78" t="s">
        <v>80</v>
      </c>
      <c r="H369" s="53">
        <f t="shared" si="4"/>
        <v>1</v>
      </c>
    </row>
    <row r="370" spans="2:8" s="12" customFormat="1" x14ac:dyDescent="0.35">
      <c r="C370" s="73" t="s">
        <v>413</v>
      </c>
      <c r="D370" s="73"/>
      <c r="E370" s="73"/>
      <c r="F370" s="74" t="s">
        <v>642</v>
      </c>
      <c r="G370" s="78" t="s">
        <v>80</v>
      </c>
      <c r="H370" s="53">
        <f t="shared" si="4"/>
        <v>1</v>
      </c>
    </row>
    <row r="371" spans="2:8" s="12" customFormat="1" ht="31" x14ac:dyDescent="0.35">
      <c r="C371" s="73" t="s">
        <v>414</v>
      </c>
      <c r="D371" s="73"/>
      <c r="E371" s="73"/>
      <c r="F371" s="75" t="s">
        <v>643</v>
      </c>
      <c r="G371" s="78" t="s">
        <v>80</v>
      </c>
      <c r="H371" s="53">
        <f t="shared" si="4"/>
        <v>1</v>
      </c>
    </row>
    <row r="372" spans="2:8" s="12" customFormat="1" x14ac:dyDescent="0.35">
      <c r="C372" s="73" t="s">
        <v>415</v>
      </c>
      <c r="D372" s="73"/>
      <c r="E372" s="73"/>
      <c r="F372" s="74" t="s">
        <v>644</v>
      </c>
      <c r="G372" s="78" t="s">
        <v>80</v>
      </c>
      <c r="H372" s="53">
        <f t="shared" si="4"/>
        <v>1</v>
      </c>
    </row>
    <row r="373" spans="2:8" s="12" customFormat="1" x14ac:dyDescent="0.35">
      <c r="C373" s="73" t="s">
        <v>416</v>
      </c>
      <c r="D373" s="73"/>
      <c r="E373" s="73"/>
      <c r="F373" s="74" t="s">
        <v>645</v>
      </c>
      <c r="G373" s="78" t="s">
        <v>80</v>
      </c>
      <c r="H373" s="53">
        <f t="shared" si="4"/>
        <v>1</v>
      </c>
    </row>
    <row r="374" spans="2:8" s="12" customFormat="1" ht="31" x14ac:dyDescent="0.35">
      <c r="C374" s="79" t="s">
        <v>417</v>
      </c>
      <c r="D374" s="79"/>
      <c r="E374" s="79"/>
      <c r="F374" s="80" t="s">
        <v>646</v>
      </c>
      <c r="G374" s="97" t="s">
        <v>80</v>
      </c>
      <c r="H374" s="81">
        <f t="shared" si="4"/>
        <v>1</v>
      </c>
    </row>
    <row r="375" spans="2:8" s="12" customFormat="1" x14ac:dyDescent="0.35">
      <c r="C375" s="10" t="s">
        <v>145</v>
      </c>
      <c r="D375" s="10"/>
      <c r="E375" s="10"/>
      <c r="F375" s="10"/>
      <c r="G375" s="128"/>
      <c r="H375" s="19">
        <f>SUM(H360:H374)</f>
        <v>16</v>
      </c>
    </row>
    <row r="376" spans="2:8" s="12" customFormat="1" hidden="1" x14ac:dyDescent="0.35">
      <c r="C376" s="12" t="s">
        <v>146</v>
      </c>
      <c r="G376" s="34"/>
      <c r="H376" s="36">
        <v>16</v>
      </c>
    </row>
    <row r="377" spans="2:8" s="12" customFormat="1" hidden="1" x14ac:dyDescent="0.35">
      <c r="C377" s="60" t="s">
        <v>147</v>
      </c>
      <c r="D377" s="60"/>
      <c r="E377" s="60"/>
      <c r="F377" s="60"/>
      <c r="G377" s="92"/>
      <c r="H377" s="82">
        <v>3.2</v>
      </c>
    </row>
    <row r="378" spans="2:8" s="12" customFormat="1" x14ac:dyDescent="0.35">
      <c r="C378" s="9" t="s">
        <v>418</v>
      </c>
      <c r="D378" s="9"/>
      <c r="E378" s="9"/>
      <c r="F378" s="9"/>
      <c r="G378" s="126"/>
      <c r="H378" s="18">
        <f>MAX(1,1+MIN((H375-H377)/(H376-H377)*4,4))</f>
        <v>5</v>
      </c>
    </row>
    <row r="379" spans="2:8" s="12" customFormat="1" x14ac:dyDescent="0.35">
      <c r="G379" s="34"/>
      <c r="H379" s="16"/>
    </row>
    <row r="380" spans="2:8" s="12" customFormat="1" x14ac:dyDescent="0.35">
      <c r="B380" s="11" t="s">
        <v>419</v>
      </c>
      <c r="C380" s="11"/>
      <c r="D380" s="11"/>
      <c r="E380" s="11"/>
      <c r="G380" s="34"/>
      <c r="H380" s="16"/>
    </row>
    <row r="381" spans="2:8" s="12" customFormat="1" x14ac:dyDescent="0.35">
      <c r="C381" s="60" t="s">
        <v>56</v>
      </c>
      <c r="D381" s="60"/>
      <c r="E381" s="60"/>
      <c r="F381" s="60" t="s">
        <v>52</v>
      </c>
      <c r="G381" s="92" t="s">
        <v>53</v>
      </c>
      <c r="H381" s="17" t="s">
        <v>72</v>
      </c>
    </row>
    <row r="382" spans="2:8" s="12" customFormat="1" x14ac:dyDescent="0.35">
      <c r="C382" s="72" t="s">
        <v>420</v>
      </c>
      <c r="D382" s="72"/>
      <c r="E382" s="98"/>
      <c r="F382" s="65" t="s">
        <v>421</v>
      </c>
      <c r="G382" s="45" t="s">
        <v>80</v>
      </c>
      <c r="H382" s="49">
        <f>IF(G382="Yes",1,IF(G382="No",0,"ERROR"))</f>
        <v>1</v>
      </c>
    </row>
    <row r="383" spans="2:8" s="12" customFormat="1" x14ac:dyDescent="0.35">
      <c r="C383" s="73" t="s">
        <v>422</v>
      </c>
      <c r="D383" s="73"/>
      <c r="E383" s="99"/>
      <c r="F383" s="75" t="s">
        <v>423</v>
      </c>
      <c r="G383" s="78" t="s">
        <v>80</v>
      </c>
      <c r="H383" s="53">
        <f>IF(G383="Yes",1,IF(G383="No",0,"ERROR"))</f>
        <v>1</v>
      </c>
    </row>
    <row r="384" spans="2:8" s="12" customFormat="1" x14ac:dyDescent="0.35">
      <c r="C384" s="73" t="s">
        <v>424</v>
      </c>
      <c r="D384" s="73"/>
      <c r="E384" s="99"/>
      <c r="F384" s="75" t="s">
        <v>668</v>
      </c>
      <c r="G384" s="78" t="s">
        <v>80</v>
      </c>
      <c r="H384" s="53">
        <f t="shared" ref="H384:H391" si="5">IF(G384="Yes",1,IF(G384="No",0,"ERROR"))</f>
        <v>1</v>
      </c>
    </row>
    <row r="385" spans="2:8" s="12" customFormat="1" ht="31" x14ac:dyDescent="0.35">
      <c r="C385" s="73" t="s">
        <v>425</v>
      </c>
      <c r="D385" s="73"/>
      <c r="E385" s="99"/>
      <c r="F385" s="75" t="s">
        <v>426</v>
      </c>
      <c r="G385" s="78" t="s">
        <v>80</v>
      </c>
      <c r="H385" s="53">
        <f t="shared" si="5"/>
        <v>1</v>
      </c>
    </row>
    <row r="386" spans="2:8" s="12" customFormat="1" x14ac:dyDescent="0.35">
      <c r="C386" s="73" t="s">
        <v>427</v>
      </c>
      <c r="D386" s="73"/>
      <c r="E386" s="99"/>
      <c r="F386" s="75" t="s">
        <v>428</v>
      </c>
      <c r="G386" s="78" t="s">
        <v>80</v>
      </c>
      <c r="H386" s="53">
        <f>IF(G386="Yes",2,IF(G386="No",0,"ERROR"))</f>
        <v>2</v>
      </c>
    </row>
    <row r="387" spans="2:8" s="12" customFormat="1" ht="31" x14ac:dyDescent="0.35">
      <c r="C387" s="73" t="s">
        <v>429</v>
      </c>
      <c r="D387" s="73"/>
      <c r="E387" s="99"/>
      <c r="F387" s="75" t="s">
        <v>647</v>
      </c>
      <c r="G387" s="78" t="s">
        <v>80</v>
      </c>
      <c r="H387" s="53">
        <f t="shared" si="5"/>
        <v>1</v>
      </c>
    </row>
    <row r="388" spans="2:8" s="12" customFormat="1" ht="31" x14ac:dyDescent="0.35">
      <c r="C388" s="73" t="s">
        <v>430</v>
      </c>
      <c r="D388" s="73"/>
      <c r="E388" s="99"/>
      <c r="F388" s="75" t="s">
        <v>648</v>
      </c>
      <c r="G388" s="78" t="s">
        <v>80</v>
      </c>
      <c r="H388" s="53">
        <f t="shared" si="5"/>
        <v>1</v>
      </c>
    </row>
    <row r="389" spans="2:8" s="12" customFormat="1" ht="31" x14ac:dyDescent="0.35">
      <c r="C389" s="73" t="s">
        <v>431</v>
      </c>
      <c r="D389" s="73"/>
      <c r="E389" s="99"/>
      <c r="F389" s="75" t="s">
        <v>649</v>
      </c>
      <c r="G389" s="78" t="s">
        <v>80</v>
      </c>
      <c r="H389" s="53">
        <f t="shared" si="5"/>
        <v>1</v>
      </c>
    </row>
    <row r="390" spans="2:8" s="12" customFormat="1" ht="31" x14ac:dyDescent="0.35">
      <c r="C390" s="73" t="s">
        <v>432</v>
      </c>
      <c r="D390" s="73"/>
      <c r="E390" s="99"/>
      <c r="F390" s="75" t="s">
        <v>650</v>
      </c>
      <c r="G390" s="78" t="s">
        <v>80</v>
      </c>
      <c r="H390" s="53">
        <f t="shared" si="5"/>
        <v>1</v>
      </c>
    </row>
    <row r="391" spans="2:8" s="12" customFormat="1" ht="31" x14ac:dyDescent="0.35">
      <c r="C391" s="79" t="s">
        <v>433</v>
      </c>
      <c r="D391" s="79"/>
      <c r="E391" s="100"/>
      <c r="F391" s="80" t="s">
        <v>651</v>
      </c>
      <c r="G391" s="97" t="s">
        <v>80</v>
      </c>
      <c r="H391" s="81">
        <f t="shared" si="5"/>
        <v>1</v>
      </c>
    </row>
    <row r="392" spans="2:8" s="12" customFormat="1" x14ac:dyDescent="0.35">
      <c r="C392" s="8" t="s">
        <v>145</v>
      </c>
      <c r="D392" s="8"/>
      <c r="E392" s="8"/>
      <c r="F392" s="8"/>
      <c r="G392" s="125"/>
      <c r="H392" s="13">
        <f>SUM(H382:H391)</f>
        <v>11</v>
      </c>
    </row>
    <row r="393" spans="2:8" s="12" customFormat="1" hidden="1" x14ac:dyDescent="0.35">
      <c r="C393" s="8" t="s">
        <v>146</v>
      </c>
      <c r="D393" s="8"/>
      <c r="E393" s="8"/>
      <c r="F393" s="8"/>
      <c r="G393" s="125"/>
      <c r="H393" s="13">
        <v>11</v>
      </c>
    </row>
    <row r="394" spans="2:8" s="12" customFormat="1" hidden="1" x14ac:dyDescent="0.35">
      <c r="C394" s="60" t="s">
        <v>147</v>
      </c>
      <c r="D394" s="60"/>
      <c r="E394" s="60"/>
      <c r="F394" s="60"/>
      <c r="G394" s="92"/>
      <c r="H394" s="82">
        <v>2.2000000000000002</v>
      </c>
    </row>
    <row r="395" spans="2:8" s="12" customFormat="1" x14ac:dyDescent="0.35">
      <c r="C395" s="9" t="s">
        <v>434</v>
      </c>
      <c r="D395" s="9"/>
      <c r="E395" s="9"/>
      <c r="F395" s="9"/>
      <c r="G395" s="126"/>
      <c r="H395" s="18">
        <f>MAX(1,1+MIN((H392-H394)/(H393-H394)*4,4))</f>
        <v>5</v>
      </c>
    </row>
    <row r="396" spans="2:8" s="12" customFormat="1" x14ac:dyDescent="0.35">
      <c r="G396" s="34"/>
      <c r="H396" s="16"/>
    </row>
    <row r="397" spans="2:8" s="12" customFormat="1" x14ac:dyDescent="0.35">
      <c r="B397" s="11" t="s">
        <v>435</v>
      </c>
      <c r="C397" s="11"/>
      <c r="D397" s="11"/>
      <c r="E397" s="11"/>
      <c r="G397" s="34"/>
      <c r="H397" s="16"/>
    </row>
    <row r="398" spans="2:8" s="12" customFormat="1" x14ac:dyDescent="0.35">
      <c r="C398" s="60" t="s">
        <v>56</v>
      </c>
      <c r="D398" s="60"/>
      <c r="E398" s="60"/>
      <c r="F398" s="60" t="s">
        <v>52</v>
      </c>
      <c r="G398" s="92" t="s">
        <v>53</v>
      </c>
      <c r="H398" s="17" t="s">
        <v>72</v>
      </c>
    </row>
    <row r="399" spans="2:8" s="12" customFormat="1" ht="31" x14ac:dyDescent="0.35">
      <c r="C399" s="64" t="s">
        <v>436</v>
      </c>
      <c r="D399" s="64"/>
      <c r="E399" s="64"/>
      <c r="F399" s="65" t="s">
        <v>653</v>
      </c>
      <c r="G399" s="45" t="s">
        <v>80</v>
      </c>
      <c r="H399" s="49">
        <f>IF(G399="Yes",3,1)</f>
        <v>3</v>
      </c>
    </row>
    <row r="400" spans="2:8" s="12" customFormat="1" ht="31" x14ac:dyDescent="0.35">
      <c r="C400" s="69" t="s">
        <v>437</v>
      </c>
      <c r="D400" s="69"/>
      <c r="E400" s="69"/>
      <c r="F400" s="75" t="s">
        <v>654</v>
      </c>
      <c r="G400" s="78" t="s">
        <v>80</v>
      </c>
      <c r="H400" s="53">
        <f>IF(G400="Yes",1,0)</f>
        <v>1</v>
      </c>
    </row>
    <row r="401" spans="2:8" s="12" customFormat="1" ht="31" x14ac:dyDescent="0.35">
      <c r="C401" s="69" t="s">
        <v>438</v>
      </c>
      <c r="D401" s="69"/>
      <c r="E401" s="69"/>
      <c r="F401" s="75" t="s">
        <v>655</v>
      </c>
      <c r="G401" s="78" t="s">
        <v>80</v>
      </c>
      <c r="H401" s="53">
        <f t="shared" ref="H401:H409" si="6">IF(G401="Yes",1,0)</f>
        <v>1</v>
      </c>
    </row>
    <row r="402" spans="2:8" s="12" customFormat="1" ht="31" x14ac:dyDescent="0.35">
      <c r="C402" s="69" t="s">
        <v>439</v>
      </c>
      <c r="D402" s="69"/>
      <c r="E402" s="69"/>
      <c r="F402" s="75" t="s">
        <v>652</v>
      </c>
      <c r="G402" s="78" t="s">
        <v>80</v>
      </c>
      <c r="H402" s="53">
        <f t="shared" si="6"/>
        <v>1</v>
      </c>
    </row>
    <row r="403" spans="2:8" s="12" customFormat="1" ht="31" x14ac:dyDescent="0.35">
      <c r="C403" s="69" t="s">
        <v>440</v>
      </c>
      <c r="D403" s="69"/>
      <c r="E403" s="69"/>
      <c r="F403" s="75" t="s">
        <v>656</v>
      </c>
      <c r="G403" s="78" t="s">
        <v>80</v>
      </c>
      <c r="H403" s="53">
        <f t="shared" si="6"/>
        <v>1</v>
      </c>
    </row>
    <row r="404" spans="2:8" s="12" customFormat="1" ht="31" x14ac:dyDescent="0.35">
      <c r="C404" s="69" t="s">
        <v>441</v>
      </c>
      <c r="D404" s="69"/>
      <c r="E404" s="69"/>
      <c r="F404" s="75" t="s">
        <v>657</v>
      </c>
      <c r="G404" s="78" t="s">
        <v>80</v>
      </c>
      <c r="H404" s="53">
        <f t="shared" si="6"/>
        <v>1</v>
      </c>
    </row>
    <row r="405" spans="2:8" s="12" customFormat="1" x14ac:dyDescent="0.35">
      <c r="C405" s="69" t="s">
        <v>442</v>
      </c>
      <c r="D405" s="69"/>
      <c r="E405" s="69"/>
      <c r="F405" s="75" t="s">
        <v>658</v>
      </c>
      <c r="G405" s="78" t="s">
        <v>80</v>
      </c>
      <c r="H405" s="53">
        <f t="shared" si="6"/>
        <v>1</v>
      </c>
    </row>
    <row r="406" spans="2:8" s="12" customFormat="1" ht="31" x14ac:dyDescent="0.35">
      <c r="C406" s="73" t="s">
        <v>443</v>
      </c>
      <c r="D406" s="69"/>
      <c r="E406" s="69"/>
      <c r="F406" s="75" t="s">
        <v>659</v>
      </c>
      <c r="G406" s="78" t="s">
        <v>80</v>
      </c>
      <c r="H406" s="53">
        <f>IF(G406="Yes",1,0)</f>
        <v>1</v>
      </c>
    </row>
    <row r="407" spans="2:8" s="12" customFormat="1" ht="31" x14ac:dyDescent="0.35">
      <c r="C407" s="69" t="s">
        <v>444</v>
      </c>
      <c r="D407" s="69"/>
      <c r="E407" s="69"/>
      <c r="F407" s="75" t="s">
        <v>660</v>
      </c>
      <c r="G407" s="78" t="s">
        <v>80</v>
      </c>
      <c r="H407" s="53">
        <f t="shared" si="6"/>
        <v>1</v>
      </c>
    </row>
    <row r="408" spans="2:8" s="12" customFormat="1" x14ac:dyDescent="0.35">
      <c r="C408" s="73" t="s">
        <v>445</v>
      </c>
      <c r="D408" s="69"/>
      <c r="E408" s="69"/>
      <c r="F408" s="75" t="s">
        <v>661</v>
      </c>
      <c r="G408" s="78" t="s">
        <v>80</v>
      </c>
      <c r="H408" s="53">
        <f t="shared" si="6"/>
        <v>1</v>
      </c>
    </row>
    <row r="409" spans="2:8" s="12" customFormat="1" ht="31" x14ac:dyDescent="0.35">
      <c r="C409" s="88" t="s">
        <v>630</v>
      </c>
      <c r="D409" s="88"/>
      <c r="E409" s="88"/>
      <c r="F409" s="80" t="s">
        <v>662</v>
      </c>
      <c r="G409" s="97" t="s">
        <v>80</v>
      </c>
      <c r="H409" s="81">
        <f t="shared" si="6"/>
        <v>1</v>
      </c>
    </row>
    <row r="410" spans="2:8" s="12" customFormat="1" x14ac:dyDescent="0.35">
      <c r="C410" s="10" t="s">
        <v>145</v>
      </c>
      <c r="D410" s="10"/>
      <c r="E410" s="10"/>
      <c r="F410" s="10"/>
      <c r="G410" s="128"/>
      <c r="H410" s="19">
        <f>SUM(H399:H409)</f>
        <v>13</v>
      </c>
    </row>
    <row r="411" spans="2:8" s="12" customFormat="1" hidden="1" x14ac:dyDescent="0.35">
      <c r="C411" s="12" t="s">
        <v>146</v>
      </c>
      <c r="G411" s="34"/>
      <c r="H411" s="36">
        <v>13</v>
      </c>
    </row>
    <row r="412" spans="2:8" s="12" customFormat="1" hidden="1" x14ac:dyDescent="0.35">
      <c r="C412" s="60" t="s">
        <v>147</v>
      </c>
      <c r="D412" s="60"/>
      <c r="E412" s="60"/>
      <c r="F412" s="60"/>
      <c r="G412" s="92"/>
      <c r="H412" s="82">
        <v>2.6</v>
      </c>
    </row>
    <row r="413" spans="2:8" s="12" customFormat="1" x14ac:dyDescent="0.35">
      <c r="C413" s="9" t="s">
        <v>446</v>
      </c>
      <c r="D413" s="9"/>
      <c r="E413" s="9"/>
      <c r="F413" s="9"/>
      <c r="G413" s="126"/>
      <c r="H413" s="18">
        <f>MAX(1,1+MIN((H410-H412)/(H411-H412)*4,4))</f>
        <v>5</v>
      </c>
    </row>
    <row r="414" spans="2:8" s="12" customFormat="1" x14ac:dyDescent="0.35">
      <c r="D414" s="11"/>
      <c r="E414" s="11"/>
      <c r="F414" s="11"/>
      <c r="G414" s="44"/>
      <c r="H414" s="20"/>
    </row>
    <row r="415" spans="2:8" s="12" customFormat="1" ht="16" thickBot="1" x14ac:dyDescent="0.4">
      <c r="B415" s="15" t="s">
        <v>447</v>
      </c>
      <c r="C415" s="15"/>
      <c r="D415" s="15"/>
      <c r="E415" s="15"/>
      <c r="F415" s="15"/>
      <c r="G415" s="135"/>
      <c r="H415" s="21">
        <f>MAX(1,6-((1/3)*((6-$H$378)^1.3)+(1/3)*((6-$H$395)^1.3)+(1/3)*((6-$H$413)^1.3)))</f>
        <v>5</v>
      </c>
    </row>
    <row r="416" spans="2:8" s="12" customFormat="1" ht="16" thickTop="1" x14ac:dyDescent="0.35">
      <c r="G416" s="34"/>
      <c r="H416" s="16"/>
    </row>
    <row r="417" spans="2:8" s="12" customFormat="1" x14ac:dyDescent="0.35">
      <c r="B417" s="11" t="str">
        <f>UPPER("Quality objective 6: Environmental and social impacts")</f>
        <v>QUALITY OBJECTIVE 6: ENVIRONMENTAL AND SOCIAL IMPACTS</v>
      </c>
      <c r="C417" s="11"/>
      <c r="D417" s="11"/>
      <c r="E417" s="11"/>
      <c r="G417" s="34"/>
      <c r="H417" s="16"/>
    </row>
    <row r="418" spans="2:8" s="12" customFormat="1" x14ac:dyDescent="0.35">
      <c r="B418" s="11"/>
      <c r="C418" s="11"/>
      <c r="D418" s="11"/>
      <c r="E418" s="11"/>
      <c r="G418" s="34"/>
      <c r="H418" s="16"/>
    </row>
    <row r="419" spans="2:8" s="12" customFormat="1" x14ac:dyDescent="0.35">
      <c r="B419" s="11" t="s">
        <v>448</v>
      </c>
      <c r="C419" s="11"/>
      <c r="D419" s="11"/>
      <c r="E419" s="11"/>
      <c r="G419" s="34"/>
      <c r="H419" s="16"/>
    </row>
    <row r="420" spans="2:8" s="12" customFormat="1" x14ac:dyDescent="0.35">
      <c r="C420" s="60" t="s">
        <v>56</v>
      </c>
      <c r="D420" s="60"/>
      <c r="E420" s="60"/>
      <c r="F420" s="60" t="s">
        <v>52</v>
      </c>
      <c r="G420" s="92" t="s">
        <v>53</v>
      </c>
      <c r="H420" s="17" t="s">
        <v>72</v>
      </c>
    </row>
    <row r="421" spans="2:8" s="12" customFormat="1" ht="31" x14ac:dyDescent="0.35">
      <c r="C421" s="72" t="s">
        <v>449</v>
      </c>
      <c r="D421" s="72"/>
      <c r="E421" s="72"/>
      <c r="F421" s="65" t="s">
        <v>450</v>
      </c>
      <c r="G421" s="45" t="s">
        <v>80</v>
      </c>
      <c r="H421" s="49">
        <f>IF(G421="Yes",2,IF(G421="No",0,"ERROR"))</f>
        <v>2</v>
      </c>
    </row>
    <row r="422" spans="2:8" s="12" customFormat="1" ht="31" x14ac:dyDescent="0.35">
      <c r="C422" s="73" t="s">
        <v>451</v>
      </c>
      <c r="D422" s="73"/>
      <c r="E422" s="73"/>
      <c r="F422" s="75" t="s">
        <v>452</v>
      </c>
      <c r="G422" s="78" t="s">
        <v>80</v>
      </c>
      <c r="H422" s="53">
        <f>IF(G422="Yes",1,IF(G422="No",0,"ERROR"))</f>
        <v>1</v>
      </c>
    </row>
    <row r="423" spans="2:8" s="12" customFormat="1" ht="31" x14ac:dyDescent="0.35">
      <c r="C423" s="73" t="s">
        <v>453</v>
      </c>
      <c r="D423" s="73"/>
      <c r="E423" s="73"/>
      <c r="F423" s="75" t="s">
        <v>454</v>
      </c>
      <c r="G423" s="78" t="s">
        <v>80</v>
      </c>
      <c r="H423" s="53">
        <f t="shared" ref="H423:H435" si="7">IF(G423="Yes",1,IF(G423="No",0,"ERROR"))</f>
        <v>1</v>
      </c>
    </row>
    <row r="424" spans="2:8" s="12" customFormat="1" ht="31" x14ac:dyDescent="0.35">
      <c r="C424" s="73" t="s">
        <v>455</v>
      </c>
      <c r="D424" s="73"/>
      <c r="E424" s="73"/>
      <c r="F424" s="75" t="s">
        <v>456</v>
      </c>
      <c r="G424" s="78" t="s">
        <v>80</v>
      </c>
      <c r="H424" s="53">
        <f t="shared" si="7"/>
        <v>1</v>
      </c>
    </row>
    <row r="425" spans="2:8" s="12" customFormat="1" ht="31" x14ac:dyDescent="0.35">
      <c r="C425" s="73" t="s">
        <v>457</v>
      </c>
      <c r="D425" s="73"/>
      <c r="E425" s="73"/>
      <c r="F425" s="75" t="s">
        <v>458</v>
      </c>
      <c r="G425" s="78" t="s">
        <v>80</v>
      </c>
      <c r="H425" s="53">
        <f t="shared" si="7"/>
        <v>1</v>
      </c>
    </row>
    <row r="426" spans="2:8" s="12" customFormat="1" ht="46.5" x14ac:dyDescent="0.35">
      <c r="C426" s="73" t="s">
        <v>459</v>
      </c>
      <c r="D426" s="73"/>
      <c r="E426" s="73"/>
      <c r="F426" s="75" t="s">
        <v>460</v>
      </c>
      <c r="G426" s="78" t="s">
        <v>80</v>
      </c>
      <c r="H426" s="53">
        <f t="shared" si="7"/>
        <v>1</v>
      </c>
    </row>
    <row r="427" spans="2:8" s="12" customFormat="1" ht="31" x14ac:dyDescent="0.35">
      <c r="C427" s="73" t="s">
        <v>461</v>
      </c>
      <c r="D427" s="73"/>
      <c r="E427" s="73"/>
      <c r="F427" s="75" t="s">
        <v>462</v>
      </c>
      <c r="G427" s="78" t="s">
        <v>80</v>
      </c>
      <c r="H427" s="53">
        <f t="shared" si="7"/>
        <v>1</v>
      </c>
    </row>
    <row r="428" spans="2:8" s="12" customFormat="1" ht="31" x14ac:dyDescent="0.35">
      <c r="C428" s="73" t="s">
        <v>463</v>
      </c>
      <c r="D428" s="73"/>
      <c r="E428" s="73"/>
      <c r="F428" s="75" t="s">
        <v>464</v>
      </c>
      <c r="G428" s="78" t="s">
        <v>80</v>
      </c>
      <c r="H428" s="53">
        <f t="shared" si="7"/>
        <v>1</v>
      </c>
    </row>
    <row r="429" spans="2:8" s="12" customFormat="1" ht="31" x14ac:dyDescent="0.35">
      <c r="C429" s="73" t="s">
        <v>465</v>
      </c>
      <c r="D429" s="73"/>
      <c r="E429" s="73"/>
      <c r="F429" s="75" t="s">
        <v>466</v>
      </c>
      <c r="G429" s="78" t="s">
        <v>80</v>
      </c>
      <c r="H429" s="53">
        <f t="shared" si="7"/>
        <v>1</v>
      </c>
    </row>
    <row r="430" spans="2:8" s="12" customFormat="1" ht="31" x14ac:dyDescent="0.35">
      <c r="C430" s="73" t="s">
        <v>467</v>
      </c>
      <c r="D430" s="73"/>
      <c r="E430" s="73"/>
      <c r="F430" s="75" t="s">
        <v>468</v>
      </c>
      <c r="G430" s="78" t="s">
        <v>80</v>
      </c>
      <c r="H430" s="53">
        <f t="shared" si="7"/>
        <v>1</v>
      </c>
    </row>
    <row r="431" spans="2:8" s="12" customFormat="1" ht="31" x14ac:dyDescent="0.35">
      <c r="C431" s="73" t="s">
        <v>469</v>
      </c>
      <c r="D431" s="73"/>
      <c r="E431" s="73"/>
      <c r="F431" s="75" t="s">
        <v>470</v>
      </c>
      <c r="G431" s="78" t="s">
        <v>80</v>
      </c>
      <c r="H431" s="53">
        <f t="shared" si="7"/>
        <v>1</v>
      </c>
    </row>
    <row r="432" spans="2:8" s="12" customFormat="1" ht="31" x14ac:dyDescent="0.35">
      <c r="C432" s="73" t="s">
        <v>471</v>
      </c>
      <c r="D432" s="73"/>
      <c r="E432" s="73"/>
      <c r="F432" s="75" t="s">
        <v>472</v>
      </c>
      <c r="G432" s="78" t="s">
        <v>80</v>
      </c>
      <c r="H432" s="53">
        <f t="shared" si="7"/>
        <v>1</v>
      </c>
    </row>
    <row r="433" spans="3:8" s="12" customFormat="1" x14ac:dyDescent="0.35">
      <c r="C433" s="73" t="s">
        <v>473</v>
      </c>
      <c r="D433" s="73"/>
      <c r="E433" s="73"/>
      <c r="F433" s="75" t="s">
        <v>474</v>
      </c>
      <c r="G433" s="78" t="s">
        <v>80</v>
      </c>
      <c r="H433" s="53">
        <f t="shared" si="7"/>
        <v>1</v>
      </c>
    </row>
    <row r="434" spans="3:8" s="12" customFormat="1" x14ac:dyDescent="0.35">
      <c r="C434" s="73" t="s">
        <v>475</v>
      </c>
      <c r="D434" s="73"/>
      <c r="E434" s="73"/>
      <c r="F434" s="75" t="s">
        <v>476</v>
      </c>
      <c r="G434" s="78" t="s">
        <v>80</v>
      </c>
      <c r="H434" s="53">
        <f t="shared" si="7"/>
        <v>1</v>
      </c>
    </row>
    <row r="435" spans="3:8" s="12" customFormat="1" ht="31" x14ac:dyDescent="0.35">
      <c r="C435" s="73" t="s">
        <v>477</v>
      </c>
      <c r="D435" s="73"/>
      <c r="E435" s="73"/>
      <c r="F435" s="75" t="s">
        <v>478</v>
      </c>
      <c r="G435" s="78" t="s">
        <v>80</v>
      </c>
      <c r="H435" s="53">
        <f t="shared" si="7"/>
        <v>1</v>
      </c>
    </row>
    <row r="436" spans="3:8" s="12" customFormat="1" ht="31" x14ac:dyDescent="0.35">
      <c r="C436" s="73" t="s">
        <v>479</v>
      </c>
      <c r="D436" s="73"/>
      <c r="E436" s="73"/>
      <c r="F436" s="75" t="s">
        <v>480</v>
      </c>
      <c r="G436" s="78" t="s">
        <v>80</v>
      </c>
      <c r="H436" s="53">
        <f>IF(G436="Yes",1,IF(G436="No",0,"ERROR"))</f>
        <v>1</v>
      </c>
    </row>
    <row r="437" spans="3:8" s="12" customFormat="1" ht="31" x14ac:dyDescent="0.35">
      <c r="C437" s="73" t="s">
        <v>481</v>
      </c>
      <c r="D437" s="73"/>
      <c r="E437" s="73"/>
      <c r="F437" s="75" t="s">
        <v>482</v>
      </c>
      <c r="G437" s="78" t="s">
        <v>80</v>
      </c>
      <c r="H437" s="53">
        <f>IF(G437="Yes",1,IF(G437="No",0,"ERROR"))</f>
        <v>1</v>
      </c>
    </row>
    <row r="438" spans="3:8" s="12" customFormat="1" ht="31" x14ac:dyDescent="0.35">
      <c r="C438" s="73" t="s">
        <v>483</v>
      </c>
      <c r="D438" s="73"/>
      <c r="E438" s="73"/>
      <c r="F438" s="75" t="s">
        <v>484</v>
      </c>
      <c r="G438" s="78" t="s">
        <v>80</v>
      </c>
      <c r="H438" s="53">
        <f t="shared" ref="H438:H450" si="8">IF(G438="Yes",1,IF(G438="No",0,"ERROR"))</f>
        <v>1</v>
      </c>
    </row>
    <row r="439" spans="3:8" s="12" customFormat="1" ht="31" x14ac:dyDescent="0.35">
      <c r="C439" s="73" t="s">
        <v>485</v>
      </c>
      <c r="D439" s="73"/>
      <c r="E439" s="73"/>
      <c r="F439" s="75" t="s">
        <v>486</v>
      </c>
      <c r="G439" s="78" t="s">
        <v>80</v>
      </c>
      <c r="H439" s="53">
        <f t="shared" si="8"/>
        <v>1</v>
      </c>
    </row>
    <row r="440" spans="3:8" s="59" customFormat="1" ht="31" x14ac:dyDescent="0.35">
      <c r="C440" s="73" t="s">
        <v>487</v>
      </c>
      <c r="D440" s="73"/>
      <c r="E440" s="76"/>
      <c r="F440" s="75" t="s">
        <v>488</v>
      </c>
      <c r="G440" s="78" t="s">
        <v>80</v>
      </c>
      <c r="H440" s="58">
        <f t="shared" si="8"/>
        <v>1</v>
      </c>
    </row>
    <row r="441" spans="3:8" s="12" customFormat="1" ht="31" x14ac:dyDescent="0.35">
      <c r="C441" s="73" t="s">
        <v>489</v>
      </c>
      <c r="D441" s="73"/>
      <c r="E441" s="73"/>
      <c r="F441" s="75" t="s">
        <v>490</v>
      </c>
      <c r="G441" s="78" t="s">
        <v>80</v>
      </c>
      <c r="H441" s="53">
        <f t="shared" si="8"/>
        <v>1</v>
      </c>
    </row>
    <row r="442" spans="3:8" s="12" customFormat="1" ht="31" x14ac:dyDescent="0.35">
      <c r="C442" s="73" t="s">
        <v>491</v>
      </c>
      <c r="D442" s="73"/>
      <c r="E442" s="73"/>
      <c r="F442" s="75" t="s">
        <v>492</v>
      </c>
      <c r="G442" s="78" t="s">
        <v>80</v>
      </c>
      <c r="H442" s="53">
        <f>IF(G442="Yes",2,IF(G442="No",0,"ERROR"))</f>
        <v>2</v>
      </c>
    </row>
    <row r="443" spans="3:8" s="12" customFormat="1" ht="46.5" x14ac:dyDescent="0.35">
      <c r="C443" s="73" t="s">
        <v>493</v>
      </c>
      <c r="D443" s="73"/>
      <c r="E443" s="73"/>
      <c r="F443" s="75" t="s">
        <v>494</v>
      </c>
      <c r="G443" s="78" t="s">
        <v>80</v>
      </c>
      <c r="H443" s="53">
        <f t="shared" si="8"/>
        <v>1</v>
      </c>
    </row>
    <row r="444" spans="3:8" s="12" customFormat="1" x14ac:dyDescent="0.35">
      <c r="C444" s="73" t="s">
        <v>495</v>
      </c>
      <c r="D444" s="73"/>
      <c r="E444" s="73"/>
      <c r="F444" s="75" t="s">
        <v>496</v>
      </c>
      <c r="G444" s="78" t="s">
        <v>80</v>
      </c>
      <c r="H444" s="53">
        <f t="shared" si="8"/>
        <v>1</v>
      </c>
    </row>
    <row r="445" spans="3:8" s="59" customFormat="1" ht="19.5" customHeight="1" x14ac:dyDescent="0.35">
      <c r="C445" s="73" t="s">
        <v>497</v>
      </c>
      <c r="D445" s="73"/>
      <c r="E445" s="76"/>
      <c r="F445" s="75" t="s">
        <v>498</v>
      </c>
      <c r="G445" s="78" t="s">
        <v>80</v>
      </c>
      <c r="H445" s="58">
        <f t="shared" si="8"/>
        <v>1</v>
      </c>
    </row>
    <row r="446" spans="3:8" s="12" customFormat="1" ht="31" x14ac:dyDescent="0.35">
      <c r="C446" s="73" t="s">
        <v>499</v>
      </c>
      <c r="D446" s="73"/>
      <c r="E446" s="73"/>
      <c r="F446" s="75" t="s">
        <v>500</v>
      </c>
      <c r="G446" s="78" t="s">
        <v>80</v>
      </c>
      <c r="H446" s="53">
        <f t="shared" si="8"/>
        <v>1</v>
      </c>
    </row>
    <row r="447" spans="3:8" s="12" customFormat="1" ht="15.75" customHeight="1" x14ac:dyDescent="0.35">
      <c r="C447" s="73" t="s">
        <v>501</v>
      </c>
      <c r="D447" s="73"/>
      <c r="E447" s="73"/>
      <c r="F447" s="75" t="s">
        <v>502</v>
      </c>
      <c r="G447" s="78" t="s">
        <v>80</v>
      </c>
      <c r="H447" s="53">
        <f t="shared" si="8"/>
        <v>1</v>
      </c>
    </row>
    <row r="448" spans="3:8" s="12" customFormat="1" ht="46.5" x14ac:dyDescent="0.35">
      <c r="C448" s="73" t="s">
        <v>503</v>
      </c>
      <c r="D448" s="73"/>
      <c r="E448" s="73"/>
      <c r="F448" s="75" t="s">
        <v>504</v>
      </c>
      <c r="G448" s="78" t="s">
        <v>80</v>
      </c>
      <c r="H448" s="53">
        <f t="shared" si="8"/>
        <v>1</v>
      </c>
    </row>
    <row r="449" spans="3:8" s="12" customFormat="1" ht="31" x14ac:dyDescent="0.35">
      <c r="C449" s="73" t="s">
        <v>505</v>
      </c>
      <c r="D449" s="73"/>
      <c r="E449" s="73"/>
      <c r="F449" s="75" t="s">
        <v>488</v>
      </c>
      <c r="G449" s="78" t="s">
        <v>80</v>
      </c>
      <c r="H449" s="53">
        <f t="shared" si="8"/>
        <v>1</v>
      </c>
    </row>
    <row r="450" spans="3:8" s="12" customFormat="1" ht="31" x14ac:dyDescent="0.35">
      <c r="C450" s="73" t="s">
        <v>506</v>
      </c>
      <c r="D450" s="73"/>
      <c r="E450" s="73"/>
      <c r="F450" s="75" t="s">
        <v>507</v>
      </c>
      <c r="G450" s="78" t="s">
        <v>80</v>
      </c>
      <c r="H450" s="53">
        <f t="shared" si="8"/>
        <v>1</v>
      </c>
    </row>
    <row r="451" spans="3:8" s="12" customFormat="1" ht="31" x14ac:dyDescent="0.35">
      <c r="C451" s="73" t="s">
        <v>508</v>
      </c>
      <c r="D451" s="73"/>
      <c r="E451" s="73"/>
      <c r="F451" s="75" t="s">
        <v>509</v>
      </c>
      <c r="G451" s="78" t="s">
        <v>80</v>
      </c>
      <c r="H451" s="53">
        <f>IF(G451="Yes",1,IF(G451="No",0,"ERROR"))</f>
        <v>1</v>
      </c>
    </row>
    <row r="452" spans="3:8" s="12" customFormat="1" x14ac:dyDescent="0.35">
      <c r="C452" s="73" t="s">
        <v>510</v>
      </c>
      <c r="D452" s="73"/>
      <c r="E452" s="73"/>
      <c r="F452" s="75" t="s">
        <v>511</v>
      </c>
      <c r="G452" s="78" t="s">
        <v>80</v>
      </c>
      <c r="H452" s="53">
        <f>IF(G452="Yes",1,IF(G452="No",0,"ERROR"))</f>
        <v>1</v>
      </c>
    </row>
    <row r="453" spans="3:8" s="12" customFormat="1" ht="31" x14ac:dyDescent="0.35">
      <c r="C453" s="73" t="s">
        <v>512</v>
      </c>
      <c r="D453" s="73"/>
      <c r="E453" s="73"/>
      <c r="F453" s="75" t="s">
        <v>513</v>
      </c>
      <c r="G453" s="78" t="s">
        <v>80</v>
      </c>
      <c r="H453" s="53">
        <f t="shared" ref="H453:H463" si="9">IF(G453="Yes",1,IF(G453="No",0,"ERROR"))</f>
        <v>1</v>
      </c>
    </row>
    <row r="454" spans="3:8" s="12" customFormat="1" ht="46.5" x14ac:dyDescent="0.35">
      <c r="C454" s="73" t="s">
        <v>514</v>
      </c>
      <c r="D454" s="73"/>
      <c r="E454" s="73"/>
      <c r="F454" s="75" t="s">
        <v>515</v>
      </c>
      <c r="G454" s="78" t="s">
        <v>80</v>
      </c>
      <c r="H454" s="53">
        <f>IF(G454="Yes",2,IF(G454="No",0,"ERROR"))</f>
        <v>2</v>
      </c>
    </row>
    <row r="455" spans="3:8" s="12" customFormat="1" ht="46.5" x14ac:dyDescent="0.35">
      <c r="C455" s="73" t="s">
        <v>516</v>
      </c>
      <c r="D455" s="73"/>
      <c r="E455" s="73"/>
      <c r="F455" s="75" t="s">
        <v>517</v>
      </c>
      <c r="G455" s="78" t="s">
        <v>80</v>
      </c>
      <c r="H455" s="53">
        <f t="shared" si="9"/>
        <v>1</v>
      </c>
    </row>
    <row r="456" spans="3:8" s="12" customFormat="1" ht="31" x14ac:dyDescent="0.35">
      <c r="C456" s="73" t="s">
        <v>518</v>
      </c>
      <c r="D456" s="73"/>
      <c r="E456" s="73"/>
      <c r="F456" s="75" t="s">
        <v>519</v>
      </c>
      <c r="G456" s="78" t="s">
        <v>80</v>
      </c>
      <c r="H456" s="53">
        <f t="shared" si="9"/>
        <v>1</v>
      </c>
    </row>
    <row r="457" spans="3:8" s="12" customFormat="1" x14ac:dyDescent="0.35">
      <c r="C457" s="73" t="s">
        <v>520</v>
      </c>
      <c r="D457" s="73"/>
      <c r="E457" s="73"/>
      <c r="F457" s="74" t="s">
        <v>663</v>
      </c>
      <c r="G457" s="78" t="s">
        <v>80</v>
      </c>
      <c r="H457" s="53">
        <f t="shared" si="9"/>
        <v>1</v>
      </c>
    </row>
    <row r="458" spans="3:8" s="12" customFormat="1" x14ac:dyDescent="0.35">
      <c r="C458" s="73" t="s">
        <v>521</v>
      </c>
      <c r="D458" s="73"/>
      <c r="E458" s="73"/>
      <c r="F458" s="74" t="s">
        <v>664</v>
      </c>
      <c r="G458" s="78" t="s">
        <v>80</v>
      </c>
      <c r="H458" s="53">
        <f t="shared" si="9"/>
        <v>1</v>
      </c>
    </row>
    <row r="459" spans="3:8" s="12" customFormat="1" x14ac:dyDescent="0.35">
      <c r="C459" s="73" t="s">
        <v>522</v>
      </c>
      <c r="D459" s="73"/>
      <c r="E459" s="73"/>
      <c r="F459" s="74" t="s">
        <v>665</v>
      </c>
      <c r="G459" s="78" t="s">
        <v>293</v>
      </c>
      <c r="H459" s="53">
        <f>IF(G459="processes dedicated to avoiding physical and economic displacement and to free, prior and informed consent from indigenous people",1,IF(G459="all safeguard processes which are included in the program’s provisions",2,0))</f>
        <v>0</v>
      </c>
    </row>
    <row r="460" spans="3:8" s="12" customFormat="1" x14ac:dyDescent="0.35">
      <c r="C460" s="73" t="s">
        <v>523</v>
      </c>
      <c r="D460" s="73"/>
      <c r="E460" s="73"/>
      <c r="F460" s="74" t="s">
        <v>666</v>
      </c>
      <c r="G460" s="78" t="s">
        <v>80</v>
      </c>
      <c r="H460" s="53">
        <f t="shared" si="9"/>
        <v>1</v>
      </c>
    </row>
    <row r="461" spans="3:8" s="12" customFormat="1" x14ac:dyDescent="0.35">
      <c r="C461" s="73" t="s">
        <v>524</v>
      </c>
      <c r="D461" s="73"/>
      <c r="E461" s="73"/>
      <c r="F461" s="74" t="s">
        <v>667</v>
      </c>
      <c r="G461" s="78" t="s">
        <v>80</v>
      </c>
      <c r="H461" s="53">
        <f t="shared" si="9"/>
        <v>1</v>
      </c>
    </row>
    <row r="462" spans="3:8" s="12" customFormat="1" ht="31" x14ac:dyDescent="0.35">
      <c r="C462" s="73" t="s">
        <v>525</v>
      </c>
      <c r="D462" s="73"/>
      <c r="E462" s="73"/>
      <c r="F462" s="75" t="s">
        <v>526</v>
      </c>
      <c r="G462" s="78" t="s">
        <v>80</v>
      </c>
      <c r="H462" s="53">
        <f t="shared" si="9"/>
        <v>1</v>
      </c>
    </row>
    <row r="463" spans="3:8" s="12" customFormat="1" ht="31" x14ac:dyDescent="0.35">
      <c r="C463" s="79" t="s">
        <v>527</v>
      </c>
      <c r="D463" s="79"/>
      <c r="E463" s="79"/>
      <c r="F463" s="80" t="s">
        <v>528</v>
      </c>
      <c r="G463" s="97" t="s">
        <v>80</v>
      </c>
      <c r="H463" s="81">
        <f t="shared" si="9"/>
        <v>1</v>
      </c>
    </row>
    <row r="464" spans="3:8" s="12" customFormat="1" x14ac:dyDescent="0.35">
      <c r="C464" s="10" t="s">
        <v>145</v>
      </c>
      <c r="D464" s="10"/>
      <c r="E464" s="10"/>
      <c r="F464" s="10"/>
      <c r="G464" s="128"/>
      <c r="H464" s="19">
        <f>SUM(H421:H463)</f>
        <v>45</v>
      </c>
    </row>
    <row r="465" spans="2:8" s="12" customFormat="1" hidden="1" x14ac:dyDescent="0.35">
      <c r="C465" s="12" t="s">
        <v>146</v>
      </c>
      <c r="G465" s="34"/>
      <c r="H465" s="36">
        <v>44</v>
      </c>
    </row>
    <row r="466" spans="2:8" s="12" customFormat="1" hidden="1" x14ac:dyDescent="0.35">
      <c r="C466" s="60" t="s">
        <v>147</v>
      </c>
      <c r="D466" s="60"/>
      <c r="E466" s="60"/>
      <c r="F466" s="60"/>
      <c r="G466" s="92"/>
      <c r="H466" s="82">
        <v>9.4</v>
      </c>
    </row>
    <row r="467" spans="2:8" s="12" customFormat="1" x14ac:dyDescent="0.35">
      <c r="C467" s="9" t="s">
        <v>529</v>
      </c>
      <c r="D467" s="9"/>
      <c r="E467" s="9"/>
      <c r="F467" s="9"/>
      <c r="G467" s="126"/>
      <c r="H467" s="18">
        <f>MAX(1,1+MIN((H464-H466)/(H465-H466)*4,4))</f>
        <v>5</v>
      </c>
    </row>
    <row r="468" spans="2:8" s="12" customFormat="1" x14ac:dyDescent="0.35">
      <c r="G468" s="34"/>
      <c r="H468" s="16"/>
    </row>
    <row r="469" spans="2:8" s="12" customFormat="1" x14ac:dyDescent="0.35">
      <c r="B469" s="11" t="s">
        <v>530</v>
      </c>
      <c r="C469" s="11"/>
      <c r="D469" s="11"/>
      <c r="E469" s="11"/>
      <c r="G469" s="34"/>
      <c r="H469" s="16"/>
    </row>
    <row r="470" spans="2:8" s="12" customFormat="1" x14ac:dyDescent="0.35">
      <c r="B470" s="11"/>
      <c r="C470" s="61" t="s">
        <v>52</v>
      </c>
      <c r="D470" s="61"/>
      <c r="E470" s="61"/>
      <c r="F470" s="61"/>
      <c r="G470" s="92" t="s">
        <v>53</v>
      </c>
      <c r="H470" s="16"/>
    </row>
    <row r="471" spans="2:8" s="12" customFormat="1" x14ac:dyDescent="0.35">
      <c r="B471" s="11"/>
      <c r="C471" s="71" t="s">
        <v>531</v>
      </c>
      <c r="D471" s="71"/>
      <c r="E471" s="71"/>
      <c r="F471" s="71"/>
      <c r="G471" s="29" t="s">
        <v>80</v>
      </c>
      <c r="H471" s="16"/>
    </row>
    <row r="472" spans="2:8" s="12" customFormat="1" x14ac:dyDescent="0.35">
      <c r="B472" s="11"/>
      <c r="C472" s="11"/>
      <c r="D472" s="11"/>
      <c r="E472" s="11"/>
      <c r="G472" s="34"/>
      <c r="H472" s="16"/>
    </row>
    <row r="473" spans="2:8" s="12" customFormat="1" x14ac:dyDescent="0.35">
      <c r="C473" s="60" t="s">
        <v>532</v>
      </c>
      <c r="D473" s="60"/>
      <c r="E473" s="60"/>
      <c r="F473" s="60"/>
      <c r="G473" s="92" t="s">
        <v>53</v>
      </c>
      <c r="H473" s="17" t="s">
        <v>72</v>
      </c>
    </row>
    <row r="474" spans="2:8" s="12" customFormat="1" x14ac:dyDescent="0.35">
      <c r="C474" s="51" t="s">
        <v>533</v>
      </c>
      <c r="D474" s="51"/>
      <c r="E474" s="64"/>
      <c r="F474" s="51"/>
      <c r="G474" s="45" t="s">
        <v>534</v>
      </c>
      <c r="H474" s="49">
        <f>IF(G474="Indivisible impact (3 points)",3, IF(G474="Reinforcing impact (2 points)",2,IF(G474="Enabling impact (1 point)",1,IF(G474="Consistent impact (0 points)",0,IF(G474="Constraining impact (-1 point)",-1,IF(G474="Counteracting impact (-2 points)",-2,-3))))))</f>
        <v>3</v>
      </c>
    </row>
    <row r="475" spans="2:8" s="12" customFormat="1" x14ac:dyDescent="0.35">
      <c r="C475" s="52" t="s">
        <v>535</v>
      </c>
      <c r="D475" s="52"/>
      <c r="E475" s="69"/>
      <c r="F475" s="52"/>
      <c r="G475" s="78" t="s">
        <v>534</v>
      </c>
      <c r="H475" s="53">
        <f t="shared" ref="H475:H489" si="10">IF(G475="Indivisible impact (3 points)",3, IF(G475="Reinforcing impact (2 points)",2,IF(G475="Enabling impact (1 point)",1,IF(G475="Consistent impact (0 points)",0,IF(G475="Constraining impact (-1 point)",-1,IF(G475="Counteracting impact (-2 points)",-2,-3))))))</f>
        <v>3</v>
      </c>
    </row>
    <row r="476" spans="2:8" s="12" customFormat="1" x14ac:dyDescent="0.35">
      <c r="C476" s="52" t="s">
        <v>536</v>
      </c>
      <c r="D476" s="52"/>
      <c r="E476" s="69"/>
      <c r="F476" s="52"/>
      <c r="G476" s="78" t="s">
        <v>534</v>
      </c>
      <c r="H476" s="53">
        <f t="shared" si="10"/>
        <v>3</v>
      </c>
    </row>
    <row r="477" spans="2:8" s="12" customFormat="1" x14ac:dyDescent="0.35">
      <c r="C477" s="52" t="s">
        <v>537</v>
      </c>
      <c r="D477" s="52"/>
      <c r="E477" s="69"/>
      <c r="F477" s="52"/>
      <c r="G477" s="78" t="s">
        <v>534</v>
      </c>
      <c r="H477" s="53">
        <f t="shared" si="10"/>
        <v>3</v>
      </c>
    </row>
    <row r="478" spans="2:8" s="12" customFormat="1" x14ac:dyDescent="0.35">
      <c r="C478" s="52" t="s">
        <v>538</v>
      </c>
      <c r="D478" s="52"/>
      <c r="E478" s="69"/>
      <c r="F478" s="52"/>
      <c r="G478" s="78" t="s">
        <v>534</v>
      </c>
      <c r="H478" s="53">
        <f t="shared" si="10"/>
        <v>3</v>
      </c>
    </row>
    <row r="479" spans="2:8" s="12" customFormat="1" x14ac:dyDescent="0.35">
      <c r="C479" s="52" t="s">
        <v>539</v>
      </c>
      <c r="D479" s="52"/>
      <c r="E479" s="52"/>
      <c r="F479" s="52"/>
      <c r="G479" s="78" t="s">
        <v>534</v>
      </c>
      <c r="H479" s="53">
        <f t="shared" si="10"/>
        <v>3</v>
      </c>
    </row>
    <row r="480" spans="2:8" s="12" customFormat="1" x14ac:dyDescent="0.35">
      <c r="C480" s="52" t="s">
        <v>540</v>
      </c>
      <c r="D480" s="52"/>
      <c r="E480" s="69"/>
      <c r="F480" s="52"/>
      <c r="G480" s="78" t="s">
        <v>534</v>
      </c>
      <c r="H480" s="53">
        <f t="shared" si="10"/>
        <v>3</v>
      </c>
    </row>
    <row r="481" spans="2:8" s="12" customFormat="1" x14ac:dyDescent="0.35">
      <c r="C481" s="52" t="s">
        <v>541</v>
      </c>
      <c r="D481" s="52"/>
      <c r="E481" s="69"/>
      <c r="F481" s="52"/>
      <c r="G481" s="78" t="s">
        <v>534</v>
      </c>
      <c r="H481" s="53">
        <f t="shared" si="10"/>
        <v>3</v>
      </c>
    </row>
    <row r="482" spans="2:8" s="12" customFormat="1" x14ac:dyDescent="0.35">
      <c r="C482" s="52" t="s">
        <v>542</v>
      </c>
      <c r="D482" s="52"/>
      <c r="E482" s="69"/>
      <c r="F482" s="52"/>
      <c r="G482" s="78" t="s">
        <v>534</v>
      </c>
      <c r="H482" s="53">
        <f t="shared" si="10"/>
        <v>3</v>
      </c>
    </row>
    <row r="483" spans="2:8" s="12" customFormat="1" ht="15.65" customHeight="1" x14ac:dyDescent="0.35">
      <c r="C483" s="52" t="s">
        <v>543</v>
      </c>
      <c r="D483" s="52"/>
      <c r="E483" s="83"/>
      <c r="F483" s="83"/>
      <c r="G483" s="78" t="s">
        <v>534</v>
      </c>
      <c r="H483" s="53">
        <f t="shared" si="10"/>
        <v>3</v>
      </c>
    </row>
    <row r="484" spans="2:8" s="12" customFormat="1" x14ac:dyDescent="0.35">
      <c r="C484" s="52" t="s">
        <v>544</v>
      </c>
      <c r="D484" s="52"/>
      <c r="E484" s="69"/>
      <c r="F484" s="52"/>
      <c r="G484" s="78" t="s">
        <v>534</v>
      </c>
      <c r="H484" s="53">
        <f t="shared" si="10"/>
        <v>3</v>
      </c>
    </row>
    <row r="485" spans="2:8" s="12" customFormat="1" x14ac:dyDescent="0.35">
      <c r="C485" s="52" t="s">
        <v>545</v>
      </c>
      <c r="D485" s="52"/>
      <c r="E485" s="69"/>
      <c r="F485" s="52"/>
      <c r="G485" s="78" t="s">
        <v>534</v>
      </c>
      <c r="H485" s="53">
        <f t="shared" si="10"/>
        <v>3</v>
      </c>
    </row>
    <row r="486" spans="2:8" s="12" customFormat="1" x14ac:dyDescent="0.35">
      <c r="C486" s="52" t="s">
        <v>546</v>
      </c>
      <c r="D486" s="52"/>
      <c r="E486" s="69"/>
      <c r="F486" s="52"/>
      <c r="G486" s="78" t="s">
        <v>534</v>
      </c>
      <c r="H486" s="53">
        <f t="shared" si="10"/>
        <v>3</v>
      </c>
    </row>
    <row r="487" spans="2:8" s="12" customFormat="1" x14ac:dyDescent="0.35">
      <c r="C487" s="52" t="s">
        <v>547</v>
      </c>
      <c r="D487" s="52"/>
      <c r="E487" s="69"/>
      <c r="F487" s="52"/>
      <c r="G487" s="78" t="s">
        <v>534</v>
      </c>
      <c r="H487" s="53">
        <f t="shared" si="10"/>
        <v>3</v>
      </c>
    </row>
    <row r="488" spans="2:8" s="12" customFormat="1" ht="15.65" customHeight="1" x14ac:dyDescent="0.35">
      <c r="C488" s="52" t="s">
        <v>548</v>
      </c>
      <c r="D488" s="52"/>
      <c r="E488" s="83"/>
      <c r="F488" s="83"/>
      <c r="G488" s="78" t="s">
        <v>534</v>
      </c>
      <c r="H488" s="53">
        <f t="shared" si="10"/>
        <v>3</v>
      </c>
    </row>
    <row r="489" spans="2:8" s="12" customFormat="1" ht="15.65" customHeight="1" x14ac:dyDescent="0.35">
      <c r="C489" s="52" t="s">
        <v>549</v>
      </c>
      <c r="D489" s="52"/>
      <c r="E489" s="90"/>
      <c r="F489" s="90"/>
      <c r="G489" s="97" t="s">
        <v>534</v>
      </c>
      <c r="H489" s="81">
        <f t="shared" si="10"/>
        <v>3</v>
      </c>
    </row>
    <row r="490" spans="2:8" s="12" customFormat="1" x14ac:dyDescent="0.35">
      <c r="C490" s="10" t="s">
        <v>145</v>
      </c>
      <c r="D490" s="10"/>
      <c r="E490" s="10"/>
      <c r="F490" s="10"/>
      <c r="G490" s="136"/>
      <c r="H490" s="19">
        <f>SUM(H474:H489)</f>
        <v>48</v>
      </c>
    </row>
    <row r="491" spans="2:8" s="12" customFormat="1" hidden="1" x14ac:dyDescent="0.35">
      <c r="C491" s="12" t="s">
        <v>146</v>
      </c>
      <c r="G491" s="137"/>
      <c r="H491" s="16">
        <v>20</v>
      </c>
    </row>
    <row r="492" spans="2:8" s="12" customFormat="1" hidden="1" x14ac:dyDescent="0.35">
      <c r="C492" s="60" t="s">
        <v>147</v>
      </c>
      <c r="D492" s="60"/>
      <c r="E492" s="60"/>
      <c r="F492" s="60"/>
      <c r="G492" s="138"/>
      <c r="H492" s="17">
        <v>1</v>
      </c>
    </row>
    <row r="493" spans="2:8" s="12" customFormat="1" x14ac:dyDescent="0.35">
      <c r="C493" s="9" t="s">
        <v>550</v>
      </c>
      <c r="D493" s="9"/>
      <c r="E493" s="9"/>
      <c r="F493" s="9"/>
      <c r="G493" s="139"/>
      <c r="H493" s="18">
        <f>IF(G471="Yes",(MAX(1,1+MIN((H490-H492)/(H491-H492)*4+1,4))),MAX(1,1+MIN((H490-H492)/(H491-H492)*4,4)))</f>
        <v>5</v>
      </c>
    </row>
    <row r="494" spans="2:8" s="12" customFormat="1" x14ac:dyDescent="0.35">
      <c r="G494" s="34"/>
      <c r="H494" s="16"/>
    </row>
    <row r="495" spans="2:8" s="12" customFormat="1" x14ac:dyDescent="0.35">
      <c r="B495" s="11" t="s">
        <v>551</v>
      </c>
      <c r="C495" s="11"/>
      <c r="D495" s="11"/>
      <c r="E495" s="11"/>
      <c r="G495" s="34"/>
      <c r="H495" s="16"/>
    </row>
    <row r="496" spans="2:8" s="12" customFormat="1" x14ac:dyDescent="0.35">
      <c r="C496" s="60" t="s">
        <v>52</v>
      </c>
      <c r="D496" s="60"/>
      <c r="E496" s="60"/>
      <c r="F496" s="60"/>
      <c r="G496" s="92" t="s">
        <v>53</v>
      </c>
      <c r="H496" s="17" t="s">
        <v>72</v>
      </c>
    </row>
    <row r="497" spans="3:8" s="12" customFormat="1" x14ac:dyDescent="0.35">
      <c r="C497" s="51" t="s">
        <v>552</v>
      </c>
      <c r="D497" s="51"/>
      <c r="E497" s="51"/>
      <c r="F497" s="51"/>
      <c r="G497" s="45" t="s">
        <v>80</v>
      </c>
      <c r="H497" s="49"/>
    </row>
    <row r="498" spans="3:8" s="12" customFormat="1" x14ac:dyDescent="0.35">
      <c r="C498" s="52"/>
      <c r="D498" s="52"/>
      <c r="E498" s="52"/>
      <c r="F498" s="52"/>
      <c r="G498" s="58"/>
      <c r="H498" s="53"/>
    </row>
    <row r="499" spans="3:8" s="12" customFormat="1" x14ac:dyDescent="0.35">
      <c r="C499" s="47" t="s">
        <v>553</v>
      </c>
      <c r="D499" s="47"/>
      <c r="E499" s="67"/>
      <c r="F499" s="47"/>
      <c r="G499" s="48" t="s">
        <v>554</v>
      </c>
      <c r="H499" s="87">
        <f>IF(G499=G500,3,IF(G499=G501,2,IF(G499=G502,1,IF(G499=G503,0,IF(G499=G504,-1,IF(G499=G505,-2,-3))))))</f>
        <v>3</v>
      </c>
    </row>
    <row r="500" spans="3:8" s="12" customFormat="1" hidden="1" x14ac:dyDescent="0.35">
      <c r="C500" s="52"/>
      <c r="D500" s="52"/>
      <c r="E500" s="69"/>
      <c r="F500" s="52"/>
      <c r="G500" s="58" t="s">
        <v>554</v>
      </c>
      <c r="H500" s="53"/>
    </row>
    <row r="501" spans="3:8" s="12" customFormat="1" hidden="1" x14ac:dyDescent="0.35">
      <c r="C501" s="52"/>
      <c r="D501" s="52"/>
      <c r="E501" s="69"/>
      <c r="F501" s="52"/>
      <c r="G501" s="58" t="s">
        <v>555</v>
      </c>
      <c r="H501" s="53"/>
    </row>
    <row r="502" spans="3:8" s="12" customFormat="1" hidden="1" x14ac:dyDescent="0.35">
      <c r="C502" s="52"/>
      <c r="D502" s="52"/>
      <c r="E502" s="69"/>
      <c r="F502" s="52"/>
      <c r="G502" s="58" t="s">
        <v>556</v>
      </c>
      <c r="H502" s="53"/>
    </row>
    <row r="503" spans="3:8" s="12" customFormat="1" hidden="1" x14ac:dyDescent="0.35">
      <c r="C503" s="52"/>
      <c r="D503" s="52"/>
      <c r="E503" s="69"/>
      <c r="F503" s="52"/>
      <c r="G503" s="58" t="s">
        <v>557</v>
      </c>
      <c r="H503" s="53"/>
    </row>
    <row r="504" spans="3:8" s="12" customFormat="1" hidden="1" x14ac:dyDescent="0.35">
      <c r="C504" s="52"/>
      <c r="D504" s="52"/>
      <c r="E504" s="69"/>
      <c r="F504" s="52"/>
      <c r="G504" s="58" t="s">
        <v>558</v>
      </c>
      <c r="H504" s="53"/>
    </row>
    <row r="505" spans="3:8" s="12" customFormat="1" hidden="1" x14ac:dyDescent="0.35">
      <c r="C505" s="52"/>
      <c r="D505" s="52"/>
      <c r="E505" s="69"/>
      <c r="F505" s="52"/>
      <c r="G505" s="58" t="s">
        <v>559</v>
      </c>
      <c r="H505" s="53"/>
    </row>
    <row r="506" spans="3:8" s="12" customFormat="1" hidden="1" x14ac:dyDescent="0.35">
      <c r="C506" s="52"/>
      <c r="D506" s="52"/>
      <c r="E506" s="69"/>
      <c r="F506" s="52"/>
      <c r="G506" s="58" t="s">
        <v>560</v>
      </c>
      <c r="H506" s="53"/>
    </row>
    <row r="507" spans="3:8" s="12" customFormat="1" x14ac:dyDescent="0.35">
      <c r="C507" s="52" t="s">
        <v>561</v>
      </c>
      <c r="D507" s="52"/>
      <c r="E507" s="69"/>
      <c r="F507" s="52"/>
      <c r="G507" s="78" t="s">
        <v>554</v>
      </c>
      <c r="H507" s="53">
        <f>IF(G499=G500,3,IF(G499=G501,2,IF(G499=G502,1,IF(G499=G503,0,IF(G499=G504,-1,IF(G499=G505,-2,-3))))))</f>
        <v>3</v>
      </c>
    </row>
    <row r="508" spans="3:8" s="12" customFormat="1" x14ac:dyDescent="0.35">
      <c r="C508" s="94" t="s">
        <v>562</v>
      </c>
      <c r="D508" s="94"/>
      <c r="E508" s="88"/>
      <c r="F508" s="94"/>
      <c r="G508" s="97" t="s">
        <v>554</v>
      </c>
      <c r="H508" s="81">
        <f>IF(G499=G500,3,IF(G499=G501,2,IF(G499=G502,1,IF(G499=G503,0,IF(G499=G504,-1,IF(G499=G505,-2,-3))))))</f>
        <v>3</v>
      </c>
    </row>
    <row r="509" spans="3:8" s="12" customFormat="1" ht="16.5" customHeight="1" x14ac:dyDescent="0.35">
      <c r="C509" s="10" t="s">
        <v>145</v>
      </c>
      <c r="D509" s="10"/>
      <c r="E509" s="10"/>
      <c r="F509" s="10"/>
      <c r="G509" s="136"/>
      <c r="H509" s="19">
        <f>SUM(H499:H508)</f>
        <v>9</v>
      </c>
    </row>
    <row r="510" spans="3:8" s="12" customFormat="1" x14ac:dyDescent="0.35">
      <c r="C510" s="12" t="s">
        <v>146</v>
      </c>
      <c r="G510" s="137"/>
      <c r="H510" s="16">
        <v>7</v>
      </c>
    </row>
    <row r="511" spans="3:8" s="12" customFormat="1" x14ac:dyDescent="0.35">
      <c r="C511" s="60" t="s">
        <v>147</v>
      </c>
      <c r="D511" s="60"/>
      <c r="E511" s="60"/>
      <c r="F511" s="60"/>
      <c r="G511" s="138"/>
      <c r="H511" s="17">
        <v>-2</v>
      </c>
    </row>
    <row r="512" spans="3:8" s="12" customFormat="1" x14ac:dyDescent="0.35">
      <c r="C512" s="11" t="s">
        <v>563</v>
      </c>
      <c r="D512" s="11"/>
      <c r="E512" s="11"/>
      <c r="F512" s="11"/>
      <c r="G512" s="140"/>
      <c r="H512" s="20">
        <f>IF(G497="No","N/A",MAX(1,1+MIN((H509-H511)/(H510-H511)*4,4)))</f>
        <v>5</v>
      </c>
    </row>
    <row r="513" spans="2:8" s="12" customFormat="1" x14ac:dyDescent="0.35">
      <c r="C513" s="11"/>
      <c r="D513" s="11"/>
      <c r="E513" s="11"/>
      <c r="F513" s="11"/>
      <c r="G513" s="140"/>
      <c r="H513" s="20"/>
    </row>
    <row r="514" spans="2:8" s="12" customFormat="1" ht="16" thickBot="1" x14ac:dyDescent="0.4">
      <c r="B514" s="15" t="s">
        <v>564</v>
      </c>
      <c r="C514" s="15"/>
      <c r="D514" s="15"/>
      <c r="E514" s="15"/>
      <c r="F514" s="15"/>
      <c r="G514" s="135"/>
      <c r="H514" s="21">
        <f>IF($G$497="Yes",MAX(1,6-(0.3*((6-$H$467)^1.3)+0.5*((6-$H$493)^1.3)+0.2*((6-$H$512)^1.3))),MAX(1,6-(0.35*((6-$H$467)^1.3)+0.65*((6-$H$493)^1.3))))</f>
        <v>5</v>
      </c>
    </row>
    <row r="515" spans="2:8" s="12" customFormat="1" ht="16" thickTop="1" x14ac:dyDescent="0.35">
      <c r="B515" s="11"/>
      <c r="C515" s="11"/>
      <c r="D515" s="11"/>
      <c r="E515" s="11"/>
      <c r="F515" s="11"/>
      <c r="G515" s="44"/>
      <c r="H515" s="7"/>
    </row>
    <row r="516" spans="2:8" s="12" customFormat="1" x14ac:dyDescent="0.35">
      <c r="B516" s="11" t="str">
        <f>UPPER("Quality objective 7: Host country ambition")</f>
        <v>QUALITY OBJECTIVE 7: HOST COUNTRY AMBITION</v>
      </c>
      <c r="C516" s="11"/>
      <c r="D516" s="11"/>
      <c r="E516" s="11"/>
      <c r="G516" s="34"/>
      <c r="H516" s="16"/>
    </row>
    <row r="517" spans="2:8" s="12" customFormat="1" x14ac:dyDescent="0.35">
      <c r="B517" s="11"/>
      <c r="C517" s="11"/>
      <c r="D517" s="11"/>
      <c r="E517" s="11"/>
      <c r="G517" s="34"/>
      <c r="H517" s="16"/>
    </row>
    <row r="518" spans="2:8" s="12" customFormat="1" x14ac:dyDescent="0.35">
      <c r="B518" s="11" t="s">
        <v>565</v>
      </c>
      <c r="C518" s="11"/>
      <c r="D518" s="11"/>
      <c r="E518" s="11"/>
      <c r="G518" s="34"/>
      <c r="H518" s="16"/>
    </row>
    <row r="519" spans="2:8" s="12" customFormat="1" x14ac:dyDescent="0.35">
      <c r="C519" s="60" t="s">
        <v>56</v>
      </c>
      <c r="D519" s="60"/>
      <c r="E519" s="60"/>
      <c r="F519" s="60" t="s">
        <v>52</v>
      </c>
      <c r="G519" s="92" t="s">
        <v>53</v>
      </c>
      <c r="H519" s="17" t="s">
        <v>72</v>
      </c>
    </row>
    <row r="520" spans="2:8" s="12" customFormat="1" x14ac:dyDescent="0.35">
      <c r="C520" s="72" t="s">
        <v>566</v>
      </c>
      <c r="D520" s="72"/>
      <c r="E520" s="72"/>
      <c r="F520" s="95" t="s">
        <v>567</v>
      </c>
      <c r="G520" s="141" t="s">
        <v>80</v>
      </c>
      <c r="H520" s="49">
        <f>IF(G520="Yes",3,0)</f>
        <v>3</v>
      </c>
    </row>
    <row r="521" spans="2:8" s="12" customFormat="1" x14ac:dyDescent="0.35">
      <c r="C521" s="101" t="s">
        <v>568</v>
      </c>
      <c r="D521" s="101"/>
      <c r="E521" s="101"/>
      <c r="F521" s="74" t="s">
        <v>569</v>
      </c>
      <c r="G521" s="104" t="s">
        <v>572</v>
      </c>
      <c r="H521" s="53">
        <f>IF(G521=G522,5,IF(G521=G523,3,IF(G521=G524,1,"N/A")))</f>
        <v>1</v>
      </c>
    </row>
    <row r="522" spans="2:8" s="12" customFormat="1" hidden="1" x14ac:dyDescent="0.35">
      <c r="C522" s="102"/>
      <c r="D522" s="102"/>
      <c r="E522" s="102"/>
      <c r="F522" s="74"/>
      <c r="G522" s="54" t="s">
        <v>570</v>
      </c>
      <c r="H522" s="53"/>
    </row>
    <row r="523" spans="2:8" s="12" customFormat="1" hidden="1" x14ac:dyDescent="0.35">
      <c r="C523" s="73"/>
      <c r="D523" s="73"/>
      <c r="E523" s="73"/>
      <c r="F523" s="74"/>
      <c r="G523" s="54" t="s">
        <v>571</v>
      </c>
      <c r="H523" s="53"/>
    </row>
    <row r="524" spans="2:8" s="12" customFormat="1" hidden="1" x14ac:dyDescent="0.35">
      <c r="C524" s="73"/>
      <c r="D524" s="73"/>
      <c r="E524" s="73"/>
      <c r="F524" s="74"/>
      <c r="G524" s="54" t="s">
        <v>572</v>
      </c>
      <c r="H524" s="53"/>
    </row>
    <row r="525" spans="2:8" s="12" customFormat="1" hidden="1" x14ac:dyDescent="0.35">
      <c r="C525" s="101"/>
      <c r="D525" s="101"/>
      <c r="E525" s="101"/>
      <c r="F525" s="74"/>
      <c r="G525" s="54" t="s">
        <v>293</v>
      </c>
      <c r="H525" s="53"/>
    </row>
    <row r="526" spans="2:8" s="12" customFormat="1" x14ac:dyDescent="0.35">
      <c r="C526" s="103" t="s">
        <v>573</v>
      </c>
      <c r="D526" s="103"/>
      <c r="E526" s="103"/>
      <c r="F526" s="74" t="s">
        <v>574</v>
      </c>
      <c r="G526" s="104" t="s">
        <v>576</v>
      </c>
      <c r="H526" s="53">
        <f>IF(G526=G527,5,IF(G526=G528,3,IF(G526=G529,1,"N/A")))</f>
        <v>3</v>
      </c>
    </row>
    <row r="527" spans="2:8" s="12" customFormat="1" hidden="1" x14ac:dyDescent="0.35">
      <c r="C527" s="102"/>
      <c r="D527" s="102"/>
      <c r="E527" s="102"/>
      <c r="F527" s="74"/>
      <c r="G527" s="54" t="s">
        <v>575</v>
      </c>
      <c r="H527" s="53"/>
    </row>
    <row r="528" spans="2:8" s="12" customFormat="1" hidden="1" x14ac:dyDescent="0.35">
      <c r="C528" s="73"/>
      <c r="D528" s="73"/>
      <c r="E528" s="73"/>
      <c r="F528" s="74"/>
      <c r="G528" s="54" t="s">
        <v>576</v>
      </c>
      <c r="H528" s="53"/>
    </row>
    <row r="529" spans="3:8" s="12" customFormat="1" hidden="1" x14ac:dyDescent="0.35">
      <c r="C529" s="73"/>
      <c r="D529" s="73"/>
      <c r="E529" s="73"/>
      <c r="F529" s="74"/>
      <c r="G529" s="54" t="s">
        <v>577</v>
      </c>
      <c r="H529" s="53"/>
    </row>
    <row r="530" spans="3:8" s="12" customFormat="1" hidden="1" x14ac:dyDescent="0.35">
      <c r="C530" s="73"/>
      <c r="D530" s="73"/>
      <c r="E530" s="73"/>
      <c r="F530" s="74"/>
      <c r="G530" s="54" t="s">
        <v>293</v>
      </c>
      <c r="H530" s="53"/>
    </row>
    <row r="531" spans="3:8" s="12" customFormat="1" x14ac:dyDescent="0.35">
      <c r="C531" s="73" t="s">
        <v>578</v>
      </c>
      <c r="D531" s="73"/>
      <c r="E531" s="73"/>
      <c r="F531" s="74" t="s">
        <v>579</v>
      </c>
      <c r="G531" s="104" t="s">
        <v>582</v>
      </c>
      <c r="H531" s="53">
        <f>IF(G531=G532,3,IF(G531=G533,2,IF(G531=G534,1,0)))</f>
        <v>2</v>
      </c>
    </row>
    <row r="532" spans="3:8" s="12" customFormat="1" ht="31" hidden="1" x14ac:dyDescent="0.35">
      <c r="C532" s="73"/>
      <c r="D532" s="73"/>
      <c r="E532" s="73"/>
      <c r="F532" s="74"/>
      <c r="G532" s="54" t="s">
        <v>581</v>
      </c>
      <c r="H532" s="53"/>
    </row>
    <row r="533" spans="3:8" s="12" customFormat="1" hidden="1" x14ac:dyDescent="0.35">
      <c r="C533" s="73"/>
      <c r="D533" s="73"/>
      <c r="E533" s="73"/>
      <c r="F533" s="74"/>
      <c r="G533" s="54" t="s">
        <v>582</v>
      </c>
      <c r="H533" s="53"/>
    </row>
    <row r="534" spans="3:8" s="12" customFormat="1" hidden="1" x14ac:dyDescent="0.35">
      <c r="C534" s="73"/>
      <c r="D534" s="73"/>
      <c r="E534" s="73"/>
      <c r="F534" s="74"/>
      <c r="G534" s="54" t="s">
        <v>583</v>
      </c>
      <c r="H534" s="53"/>
    </row>
    <row r="535" spans="3:8" s="12" customFormat="1" hidden="1" x14ac:dyDescent="0.35">
      <c r="C535" s="73"/>
      <c r="D535" s="73"/>
      <c r="E535" s="73"/>
      <c r="F535" s="74"/>
      <c r="G535" s="54" t="s">
        <v>580</v>
      </c>
      <c r="H535" s="53"/>
    </row>
    <row r="536" spans="3:8" s="12" customFormat="1" x14ac:dyDescent="0.35">
      <c r="C536" s="73" t="s">
        <v>584</v>
      </c>
      <c r="D536" s="73"/>
      <c r="E536" s="73"/>
      <c r="F536" s="74" t="s">
        <v>585</v>
      </c>
      <c r="G536" s="104" t="s">
        <v>587</v>
      </c>
      <c r="H536" s="53">
        <f>IF(G536=G537,2,0)</f>
        <v>2</v>
      </c>
    </row>
    <row r="537" spans="3:8" s="12" customFormat="1" hidden="1" x14ac:dyDescent="0.35">
      <c r="C537" s="73"/>
      <c r="D537" s="73"/>
      <c r="E537" s="73"/>
      <c r="F537" s="74"/>
      <c r="G537" s="55" t="s">
        <v>587</v>
      </c>
      <c r="H537" s="53"/>
    </row>
    <row r="538" spans="3:8" s="12" customFormat="1" hidden="1" x14ac:dyDescent="0.35">
      <c r="C538" s="73"/>
      <c r="D538" s="73"/>
      <c r="E538" s="73"/>
      <c r="F538" s="74"/>
      <c r="G538" s="54" t="s">
        <v>586</v>
      </c>
      <c r="H538" s="53"/>
    </row>
    <row r="539" spans="3:8" s="12" customFormat="1" ht="31" x14ac:dyDescent="0.35">
      <c r="C539" s="101" t="s">
        <v>588</v>
      </c>
      <c r="D539" s="84"/>
      <c r="E539" s="84"/>
      <c r="F539" s="105" t="s">
        <v>589</v>
      </c>
      <c r="G539" s="106" t="s">
        <v>591</v>
      </c>
      <c r="H539" s="86">
        <f>IF(G539=G540,2,IF(G539=G541,1,0))</f>
        <v>2</v>
      </c>
    </row>
    <row r="540" spans="3:8" s="12" customFormat="1" ht="31" hidden="1" x14ac:dyDescent="0.35">
      <c r="C540" s="70"/>
      <c r="D540" s="70"/>
      <c r="E540" s="70"/>
      <c r="G540" s="34" t="s">
        <v>591</v>
      </c>
      <c r="H540" s="16"/>
    </row>
    <row r="541" spans="3:8" s="12" customFormat="1" ht="31" hidden="1" x14ac:dyDescent="0.35">
      <c r="C541" s="70"/>
      <c r="D541" s="70"/>
      <c r="E541" s="70"/>
      <c r="G541" s="34" t="s">
        <v>592</v>
      </c>
      <c r="H541" s="16"/>
    </row>
    <row r="542" spans="3:8" s="12" customFormat="1" ht="46.5" hidden="1" x14ac:dyDescent="0.35">
      <c r="C542" s="70"/>
      <c r="D542" s="70"/>
      <c r="E542" s="70"/>
      <c r="G542" s="34" t="s">
        <v>590</v>
      </c>
      <c r="H542" s="16"/>
    </row>
    <row r="543" spans="3:8" s="12" customFormat="1" x14ac:dyDescent="0.35">
      <c r="C543" s="8" t="s">
        <v>145</v>
      </c>
      <c r="D543" s="8"/>
      <c r="E543" s="8"/>
      <c r="F543" s="8"/>
      <c r="G543" s="125"/>
      <c r="H543" s="13">
        <f>SUM(H520:H542)</f>
        <v>13</v>
      </c>
    </row>
    <row r="544" spans="3:8" s="12" customFormat="1" hidden="1" x14ac:dyDescent="0.35">
      <c r="C544" s="12" t="s">
        <v>146</v>
      </c>
      <c r="G544" s="137"/>
      <c r="H544" s="16">
        <v>15</v>
      </c>
    </row>
    <row r="545" spans="2:8" s="12" customFormat="1" hidden="1" x14ac:dyDescent="0.35">
      <c r="C545" s="156" t="s">
        <v>147</v>
      </c>
      <c r="D545" s="156"/>
      <c r="E545" s="156"/>
      <c r="F545" s="156"/>
      <c r="G545" s="138"/>
      <c r="H545" s="17">
        <v>3</v>
      </c>
    </row>
    <row r="546" spans="2:8" s="12" customFormat="1" x14ac:dyDescent="0.35">
      <c r="C546" s="9" t="s">
        <v>593</v>
      </c>
      <c r="D546" s="9"/>
      <c r="E546" s="9"/>
      <c r="F546" s="9"/>
      <c r="G546" s="126"/>
      <c r="H546" s="18">
        <f>MAX(1,1+MIN((H543-H545)/(H544-H545)*4,4))</f>
        <v>4.3333333333333339</v>
      </c>
    </row>
    <row r="547" spans="2:8" s="12" customFormat="1" x14ac:dyDescent="0.35">
      <c r="B547" s="11"/>
      <c r="C547" s="11"/>
      <c r="D547" s="11"/>
      <c r="E547" s="11"/>
      <c r="F547" s="11"/>
      <c r="G547" s="44"/>
      <c r="H547" s="20"/>
    </row>
    <row r="548" spans="2:8" s="12" customFormat="1" x14ac:dyDescent="0.35">
      <c r="B548" s="11" t="s">
        <v>594</v>
      </c>
      <c r="C548" s="11"/>
      <c r="D548" s="11"/>
      <c r="E548" s="11"/>
      <c r="G548" s="34"/>
      <c r="H548" s="16"/>
    </row>
    <row r="549" spans="2:8" s="12" customFormat="1" x14ac:dyDescent="0.35">
      <c r="C549" s="61" t="s">
        <v>595</v>
      </c>
      <c r="D549" s="61"/>
      <c r="E549" s="60"/>
      <c r="F549" s="60" t="s">
        <v>52</v>
      </c>
      <c r="G549" s="92" t="s">
        <v>53</v>
      </c>
      <c r="H549" s="17" t="s">
        <v>57</v>
      </c>
    </row>
    <row r="550" spans="2:8" s="12" customFormat="1" ht="17.25" customHeight="1" x14ac:dyDescent="0.35">
      <c r="C550" s="56">
        <v>1</v>
      </c>
      <c r="D550" s="56"/>
      <c r="E550" s="56"/>
      <c r="F550" s="95" t="s">
        <v>596</v>
      </c>
      <c r="G550" s="45" t="s">
        <v>80</v>
      </c>
      <c r="H550" s="49"/>
    </row>
    <row r="551" spans="2:8" s="12" customFormat="1" x14ac:dyDescent="0.35">
      <c r="C551" s="57">
        <v>2</v>
      </c>
      <c r="D551" s="57"/>
      <c r="E551" s="57"/>
      <c r="F551" s="74" t="s">
        <v>597</v>
      </c>
      <c r="G551" s="78" t="s">
        <v>598</v>
      </c>
      <c r="H551" s="53">
        <f>IF(G550="no","N/A",IF(G551=G552,5,IF(G551=G553,4,IF(G551=G554,3,IF(G551=G555,2,1)))))</f>
        <v>5</v>
      </c>
    </row>
    <row r="552" spans="2:8" s="12" customFormat="1" hidden="1" x14ac:dyDescent="0.35">
      <c r="C552" s="57"/>
      <c r="D552" s="57"/>
      <c r="E552" s="57"/>
      <c r="F552" s="74"/>
      <c r="G552" s="58" t="s">
        <v>598</v>
      </c>
      <c r="H552" s="53"/>
    </row>
    <row r="553" spans="2:8" s="12" customFormat="1" hidden="1" x14ac:dyDescent="0.35">
      <c r="C553" s="57"/>
      <c r="D553" s="57"/>
      <c r="E553" s="57"/>
      <c r="F553" s="74"/>
      <c r="G553" s="58" t="s">
        <v>599</v>
      </c>
      <c r="H553" s="53"/>
    </row>
    <row r="554" spans="2:8" s="12" customFormat="1" hidden="1" x14ac:dyDescent="0.35">
      <c r="C554" s="57"/>
      <c r="D554" s="57"/>
      <c r="E554" s="57"/>
      <c r="F554" s="74"/>
      <c r="G554" s="58" t="s">
        <v>600</v>
      </c>
      <c r="H554" s="53"/>
    </row>
    <row r="555" spans="2:8" s="12" customFormat="1" hidden="1" x14ac:dyDescent="0.35">
      <c r="C555" s="57"/>
      <c r="D555" s="57"/>
      <c r="E555" s="57"/>
      <c r="F555" s="74"/>
      <c r="G555" s="58" t="s">
        <v>601</v>
      </c>
      <c r="H555" s="53"/>
    </row>
    <row r="556" spans="2:8" s="12" customFormat="1" ht="31" hidden="1" x14ac:dyDescent="0.35">
      <c r="C556" s="57"/>
      <c r="D556" s="57"/>
      <c r="E556" s="57"/>
      <c r="F556" s="74"/>
      <c r="G556" s="58" t="s">
        <v>602</v>
      </c>
      <c r="H556" s="53"/>
    </row>
    <row r="557" spans="2:8" s="12" customFormat="1" x14ac:dyDescent="0.35">
      <c r="C557" s="116">
        <v>3</v>
      </c>
      <c r="D557" s="116"/>
      <c r="E557" s="116"/>
      <c r="F557" s="74" t="s">
        <v>603</v>
      </c>
      <c r="G557" s="78" t="s">
        <v>80</v>
      </c>
      <c r="H557" s="53"/>
    </row>
    <row r="558" spans="2:8" s="12" customFormat="1" x14ac:dyDescent="0.35">
      <c r="C558" s="117"/>
      <c r="D558" s="117"/>
      <c r="E558" s="117"/>
      <c r="F558" s="74" t="s">
        <v>604</v>
      </c>
      <c r="G558" s="78" t="s">
        <v>55</v>
      </c>
      <c r="H558" s="53">
        <f>IF(G550="No","N/A",IF(G557="No",H551,IF(G558="yes",H551,MIN(3,H551-1))))</f>
        <v>3</v>
      </c>
    </row>
    <row r="559" spans="2:8" s="12" customFormat="1" ht="15.75" hidden="1" customHeight="1" x14ac:dyDescent="0.35">
      <c r="C559" s="57"/>
      <c r="D559" s="57"/>
      <c r="E559" s="57"/>
      <c r="F559" s="74"/>
      <c r="G559" s="58" t="s">
        <v>554</v>
      </c>
      <c r="H559" s="53"/>
    </row>
    <row r="560" spans="2:8" s="12" customFormat="1" ht="15.75" hidden="1" customHeight="1" x14ac:dyDescent="0.35">
      <c r="C560" s="57"/>
      <c r="D560" s="57"/>
      <c r="E560" s="57"/>
      <c r="F560" s="74"/>
      <c r="G560" s="58" t="s">
        <v>555</v>
      </c>
      <c r="H560" s="53"/>
    </row>
    <row r="561" spans="2:9" s="12" customFormat="1" ht="15.75" hidden="1" customHeight="1" x14ac:dyDescent="0.35">
      <c r="C561" s="57"/>
      <c r="D561" s="57"/>
      <c r="E561" s="57"/>
      <c r="F561" s="74"/>
      <c r="G561" s="58" t="s">
        <v>556</v>
      </c>
      <c r="H561" s="53"/>
    </row>
    <row r="562" spans="2:9" s="12" customFormat="1" ht="15.75" hidden="1" customHeight="1" x14ac:dyDescent="0.35">
      <c r="C562" s="57"/>
      <c r="D562" s="57"/>
      <c r="E562" s="57"/>
      <c r="F562" s="74"/>
      <c r="G562" s="58" t="s">
        <v>557</v>
      </c>
      <c r="H562" s="53"/>
    </row>
    <row r="563" spans="2:9" s="12" customFormat="1" ht="15.75" hidden="1" customHeight="1" x14ac:dyDescent="0.35">
      <c r="C563" s="57"/>
      <c r="D563" s="57"/>
      <c r="E563" s="57"/>
      <c r="F563" s="74"/>
      <c r="G563" s="58" t="s">
        <v>558</v>
      </c>
      <c r="H563" s="53"/>
    </row>
    <row r="564" spans="2:9" s="12" customFormat="1" ht="15.75" hidden="1" customHeight="1" x14ac:dyDescent="0.35">
      <c r="C564" s="57"/>
      <c r="D564" s="57"/>
      <c r="E564" s="57"/>
      <c r="F564" s="74"/>
      <c r="G564" s="58" t="s">
        <v>559</v>
      </c>
      <c r="H564" s="53"/>
    </row>
    <row r="565" spans="2:9" s="12" customFormat="1" ht="15.75" hidden="1" customHeight="1" x14ac:dyDescent="0.35">
      <c r="C565" s="57"/>
      <c r="D565" s="57"/>
      <c r="E565" s="57"/>
      <c r="F565" s="74"/>
      <c r="G565" s="58" t="s">
        <v>560</v>
      </c>
      <c r="H565" s="53"/>
    </row>
    <row r="566" spans="2:9" s="12" customFormat="1" x14ac:dyDescent="0.35">
      <c r="C566" s="116">
        <v>4</v>
      </c>
      <c r="D566" s="116"/>
      <c r="E566" s="116"/>
      <c r="F566" s="74" t="s">
        <v>605</v>
      </c>
      <c r="G566" s="78" t="s">
        <v>80</v>
      </c>
      <c r="H566" s="86"/>
    </row>
    <row r="567" spans="2:9" s="12" customFormat="1" x14ac:dyDescent="0.35">
      <c r="C567" s="71"/>
      <c r="D567" s="71"/>
      <c r="E567" s="71"/>
      <c r="F567" s="74" t="s">
        <v>606</v>
      </c>
      <c r="G567" s="78" t="s">
        <v>55</v>
      </c>
      <c r="H567" s="16"/>
    </row>
    <row r="568" spans="2:9" s="12" customFormat="1" ht="31" x14ac:dyDescent="0.35">
      <c r="C568" s="118"/>
      <c r="D568" s="118"/>
      <c r="E568" s="113"/>
      <c r="F568" s="80" t="s">
        <v>607</v>
      </c>
      <c r="G568" s="97" t="s">
        <v>55</v>
      </c>
      <c r="H568" s="16"/>
    </row>
    <row r="569" spans="2:9" s="12" customFormat="1" x14ac:dyDescent="0.35">
      <c r="C569" s="9" t="s">
        <v>608</v>
      </c>
      <c r="D569" s="9"/>
      <c r="E569" s="9"/>
      <c r="F569" s="9"/>
      <c r="G569" s="139"/>
      <c r="H569" s="18">
        <f>IF(G550="No",1,IF(G566="No",H558,IF(AND(G567="yes",G568="Yes"),H558,IF(AND(G567="No",G568="No"),MAX(1,MIN(3,H558-1)),MAX(1,MIN(4,H558-0.5))))))</f>
        <v>2</v>
      </c>
    </row>
    <row r="570" spans="2:9" s="12" customFormat="1" x14ac:dyDescent="0.35">
      <c r="B570" s="11"/>
      <c r="C570" s="11"/>
      <c r="D570" s="11"/>
      <c r="E570" s="11"/>
      <c r="G570" s="34"/>
      <c r="H570" s="16"/>
    </row>
    <row r="571" spans="2:9" s="12" customFormat="1" x14ac:dyDescent="0.35">
      <c r="B571" s="11" t="s">
        <v>609</v>
      </c>
      <c r="C571" s="11"/>
      <c r="D571" s="11"/>
      <c r="E571" s="11"/>
      <c r="G571" s="34"/>
      <c r="H571" s="16"/>
    </row>
    <row r="572" spans="2:9" s="12" customFormat="1" x14ac:dyDescent="0.35">
      <c r="B572" s="11"/>
      <c r="C572" s="60" t="s">
        <v>52</v>
      </c>
      <c r="D572" s="60"/>
      <c r="E572" s="35"/>
      <c r="F572" s="60"/>
      <c r="G572" s="92" t="s">
        <v>53</v>
      </c>
    </row>
    <row r="573" spans="2:9" s="59" customFormat="1" ht="23.25" customHeight="1" x14ac:dyDescent="0.35">
      <c r="C573" s="165" t="s">
        <v>610</v>
      </c>
      <c r="D573" s="165"/>
      <c r="E573" s="165"/>
      <c r="F573" s="165"/>
      <c r="G573" s="29" t="s">
        <v>55</v>
      </c>
    </row>
    <row r="574" spans="2:9" s="59" customFormat="1" ht="18.75" customHeight="1" x14ac:dyDescent="0.35">
      <c r="C574" s="11"/>
      <c r="D574" s="11"/>
      <c r="E574" s="11"/>
      <c r="F574" s="11"/>
      <c r="G574" s="12"/>
      <c r="H574" s="34"/>
      <c r="I574" s="16"/>
    </row>
    <row r="575" spans="2:9" s="12" customFormat="1" x14ac:dyDescent="0.35">
      <c r="B575" s="11"/>
      <c r="C575" s="60" t="s">
        <v>52</v>
      </c>
      <c r="D575" s="60"/>
      <c r="E575" s="35"/>
      <c r="F575" s="60"/>
      <c r="G575" s="92" t="s">
        <v>53</v>
      </c>
      <c r="H575" s="43" t="s">
        <v>57</v>
      </c>
    </row>
    <row r="576" spans="2:9" s="59" customFormat="1" ht="36.75" customHeight="1" x14ac:dyDescent="0.35">
      <c r="C576" s="165" t="s">
        <v>611</v>
      </c>
      <c r="D576" s="165"/>
      <c r="E576" s="165"/>
      <c r="F576" s="165"/>
      <c r="G576" s="29" t="s">
        <v>612</v>
      </c>
      <c r="H576" s="134" t="str">
        <f>IF(G573="No","N/A",IF(G576=G577,5,IF(G576=G578,4,IF(G576=G579,3,IF(G576=G580,2,1)))))</f>
        <v>N/A</v>
      </c>
    </row>
    <row r="577" spans="2:10" ht="17.25" hidden="1" customHeight="1" x14ac:dyDescent="0.35">
      <c r="G577" s="34" t="s">
        <v>612</v>
      </c>
    </row>
    <row r="578" spans="2:10" hidden="1" x14ac:dyDescent="0.35">
      <c r="G578" s="34" t="s">
        <v>613</v>
      </c>
    </row>
    <row r="579" spans="2:10" hidden="1" x14ac:dyDescent="0.35">
      <c r="G579" s="34" t="s">
        <v>614</v>
      </c>
    </row>
    <row r="580" spans="2:10" hidden="1" x14ac:dyDescent="0.35">
      <c r="G580" s="34" t="s">
        <v>601</v>
      </c>
    </row>
    <row r="581" spans="2:10" hidden="1" x14ac:dyDescent="0.35">
      <c r="G581" s="34" t="s">
        <v>615</v>
      </c>
    </row>
    <row r="583" spans="2:10" s="12" customFormat="1" ht="16" thickBot="1" x14ac:dyDescent="0.4">
      <c r="B583" s="15" t="s">
        <v>616</v>
      </c>
      <c r="C583" s="15"/>
      <c r="D583" s="15"/>
      <c r="E583" s="15"/>
      <c r="F583" s="15"/>
      <c r="G583" s="135"/>
      <c r="H583" s="21">
        <f>IF(G171="No","N/A",IF(G573="No",0.4*H546+0.6*H569,0.3*H546+0.5*H569+0.2*H576))</f>
        <v>2.9333333333333336</v>
      </c>
      <c r="J583" s="2"/>
    </row>
    <row r="584" spans="2:10" ht="16" thickTop="1" x14ac:dyDescent="0.35"/>
    <row r="590" spans="2:10" hidden="1" x14ac:dyDescent="0.35">
      <c r="D590" s="107" t="s">
        <v>617</v>
      </c>
      <c r="E590" s="107"/>
      <c r="F590" s="108"/>
    </row>
    <row r="591" spans="2:10" s="12" customFormat="1" hidden="1" outlineLevel="1" x14ac:dyDescent="0.35">
      <c r="G591" s="59" t="s">
        <v>375</v>
      </c>
      <c r="H591" s="16"/>
    </row>
    <row r="592" spans="2:10" s="12" customFormat="1" ht="31" hidden="1" outlineLevel="1" x14ac:dyDescent="0.35">
      <c r="G592" s="59" t="s">
        <v>303</v>
      </c>
      <c r="H592" s="16"/>
    </row>
    <row r="593" spans="4:8" s="12" customFormat="1" ht="31" hidden="1" outlineLevel="1" x14ac:dyDescent="0.35">
      <c r="G593" s="59" t="s">
        <v>618</v>
      </c>
      <c r="H593" s="16"/>
    </row>
    <row r="594" spans="4:8" s="12" customFormat="1" ht="31" hidden="1" outlineLevel="1" x14ac:dyDescent="0.35">
      <c r="G594" s="59" t="s">
        <v>619</v>
      </c>
      <c r="H594" s="16"/>
    </row>
    <row r="595" spans="4:8" s="12" customFormat="1" hidden="1" outlineLevel="1" x14ac:dyDescent="0.35">
      <c r="G595" s="59" t="s">
        <v>620</v>
      </c>
      <c r="H595" s="16"/>
    </row>
    <row r="596" spans="4:8" s="12" customFormat="1" hidden="1" collapsed="1" x14ac:dyDescent="0.35">
      <c r="D596" s="115" t="s">
        <v>621</v>
      </c>
      <c r="E596" s="115"/>
      <c r="F596" s="115"/>
      <c r="G596" s="34"/>
    </row>
    <row r="597" spans="4:8" s="12" customFormat="1" hidden="1" outlineLevel="1" x14ac:dyDescent="0.35">
      <c r="D597" s="12" t="s">
        <v>146</v>
      </c>
      <c r="G597" s="34"/>
      <c r="H597" s="36">
        <v>38.5</v>
      </c>
    </row>
    <row r="598" spans="4:8" s="12" customFormat="1" hidden="1" outlineLevel="1" x14ac:dyDescent="0.35">
      <c r="D598" s="12" t="s">
        <v>147</v>
      </c>
      <c r="G598" s="34"/>
      <c r="H598" s="36">
        <v>7.7</v>
      </c>
    </row>
    <row r="599" spans="4:8" hidden="1" collapsed="1" x14ac:dyDescent="0.35">
      <c r="D599" s="107" t="s">
        <v>622</v>
      </c>
      <c r="E599" s="107"/>
      <c r="F599" s="108"/>
    </row>
    <row r="600" spans="4:8" s="12" customFormat="1" ht="31" hidden="1" outlineLevel="1" x14ac:dyDescent="0.35">
      <c r="G600" s="34" t="s">
        <v>623</v>
      </c>
      <c r="H600" s="16"/>
    </row>
    <row r="601" spans="4:8" s="12" customFormat="1" ht="31" hidden="1" outlineLevel="1" x14ac:dyDescent="0.35">
      <c r="G601" s="34" t="s">
        <v>624</v>
      </c>
      <c r="H601" s="16"/>
    </row>
    <row r="602" spans="4:8" s="12" customFormat="1" hidden="1" outlineLevel="1" x14ac:dyDescent="0.35">
      <c r="G602" s="34" t="s">
        <v>316</v>
      </c>
      <c r="H602" s="16"/>
    </row>
    <row r="603" spans="4:8" s="12" customFormat="1" hidden="1" outlineLevel="1" x14ac:dyDescent="0.35">
      <c r="G603" s="34" t="s">
        <v>293</v>
      </c>
      <c r="H603" s="16"/>
    </row>
    <row r="604" spans="4:8" hidden="1" collapsed="1" x14ac:dyDescent="0.35">
      <c r="D604" s="107" t="s">
        <v>625</v>
      </c>
      <c r="E604" s="107"/>
      <c r="F604" s="108"/>
    </row>
    <row r="605" spans="4:8" s="12" customFormat="1" hidden="1" outlineLevel="1" x14ac:dyDescent="0.35">
      <c r="G605" s="59" t="s">
        <v>626</v>
      </c>
      <c r="H605" s="16"/>
    </row>
    <row r="606" spans="4:8" s="12" customFormat="1" ht="31" hidden="1" outlineLevel="1" x14ac:dyDescent="0.35">
      <c r="G606" s="59" t="s">
        <v>627</v>
      </c>
      <c r="H606" s="16"/>
    </row>
    <row r="607" spans="4:8" s="12" customFormat="1" ht="31" hidden="1" outlineLevel="1" x14ac:dyDescent="0.35">
      <c r="G607" s="59" t="s">
        <v>628</v>
      </c>
      <c r="H607" s="16"/>
    </row>
    <row r="608" spans="4:8" hidden="1" collapsed="1" x14ac:dyDescent="0.35"/>
    <row r="609" hidden="1" x14ac:dyDescent="0.35"/>
  </sheetData>
  <mergeCells count="32">
    <mergeCell ref="C42:F42"/>
    <mergeCell ref="C43:F43"/>
    <mergeCell ref="D17:F17"/>
    <mergeCell ref="D301:F301"/>
    <mergeCell ref="C576:F576"/>
    <mergeCell ref="D53:F53"/>
    <mergeCell ref="D54:F54"/>
    <mergeCell ref="D99:F99"/>
    <mergeCell ref="D100:F100"/>
    <mergeCell ref="D145:F145"/>
    <mergeCell ref="D146:F146"/>
    <mergeCell ref="D147:F147"/>
    <mergeCell ref="B169:F169"/>
    <mergeCell ref="D224:F224"/>
    <mergeCell ref="D225:F225"/>
    <mergeCell ref="D226:F226"/>
    <mergeCell ref="D306:F306"/>
    <mergeCell ref="D307:F307"/>
    <mergeCell ref="C176:F176"/>
    <mergeCell ref="C573:F573"/>
    <mergeCell ref="D298:F298"/>
    <mergeCell ref="D265:F265"/>
    <mergeCell ref="D272:F272"/>
    <mergeCell ref="D273:F273"/>
    <mergeCell ref="D297:F297"/>
    <mergeCell ref="C171:F171"/>
    <mergeCell ref="D247:F247"/>
    <mergeCell ref="D255:F255"/>
    <mergeCell ref="D261:F261"/>
    <mergeCell ref="D264:F264"/>
    <mergeCell ref="D246:F246"/>
    <mergeCell ref="D256:F256"/>
  </mergeCells>
  <phoneticPr fontId="4" type="noConversion"/>
  <dataValidations count="40">
    <dataValidation type="list" allowBlank="1" showInputMessage="1" showErrorMessage="1" sqref="G176 G360:G374 G382:G391 G115:G117 G119:G128 G138:G140 G213:G217 G158 G179:G182 G184:G192 G81:G85 G225 G146 G73:G79 G91:G92 G171 G241 G277 G279:G280 G282 G288 G290:G292 G557 G497 G520 G550 G566:G568 G421:G458 G460:G463 G471 G255 G573 G38 G17 G286 G399:G409 G160:G162 G201:G202 G204:G211" xr:uid="{AB195196-E83B-4147-ACB5-849CF874E284}">
      <formula1>"Yes,No"</formula1>
    </dataValidation>
    <dataValidation type="list" allowBlank="1" showInputMessage="1" showErrorMessage="1" sqref="G328" xr:uid="{AE77B9F5-733D-46B9-8DB1-2CBE82FCA681}">
      <formula1>Technology</formula1>
    </dataValidation>
    <dataValidation type="list" allowBlank="1" showInputMessage="1" showErrorMessage="1" sqref="G266" xr:uid="{A36B4D55-25F3-4C4B-9308-7245F73E237A}">
      <formula1>"100 years or longer, ≥ 60 years, ≥ 30 years, Shorter"</formula1>
    </dataValidation>
    <dataValidation type="list" allowBlank="1" showInputMessage="1" showErrorMessage="1" sqref="G265" xr:uid="{172D82E9-2E17-4833-96DB-D4BD0133766A}">
      <formula1>Requirements</formula1>
    </dataValidation>
    <dataValidation type="list" allowBlank="1" showInputMessage="1" showErrorMessage="1" sqref="G269" xr:uid="{B26475E5-4EAC-4D00-9F5A-A5DB3F612BC7}">
      <formula1>"Credits held in a buffer reserve are cancelled, Credits held in a buffer reserve stay in the reserve without retiring them, No action required"</formula1>
    </dataValidation>
    <dataValidation type="list" allowBlank="1" showInputMessage="1" showErrorMessage="1" sqref="G273" xr:uid="{1F6666EF-B8B6-4CAD-8994-D2877FF207D3}">
      <formula1>"All types of reversals must be compensated for,Only unintentional reversals must be compensated for"</formula1>
    </dataValidation>
    <dataValidation type="list" allowBlank="1" showInputMessage="1" showErrorMessage="1" sqref="G310:G315 G307" xr:uid="{DB95DD2D-8841-4597-865D-E393EEB4CCD6}">
      <formula1>"Yes, No"</formula1>
    </dataValidation>
    <dataValidation type="list" allowBlank="1" showInputMessage="1" showErrorMessage="1" sqref="G163" xr:uid="{2CC24E96-9F37-4CE4-8B97-42313BF5B4D9}">
      <formula1>"Mandatory disclosure of information related to cancellation, Voluntary disclosure of information related to cancellation, N/A"</formula1>
    </dataValidation>
    <dataValidation type="list" allowBlank="1" showInputMessage="1" showErrorMessage="1" sqref="G183" xr:uid="{31711753-A6E2-4F52-A764-0CE2B710F6A6}">
      <formula1>"Multi-year emissions target, Single-year target with multi-year trajectory or budget, Single-year target with averaging, N/A"</formula1>
    </dataValidation>
    <dataValidation type="list" allowBlank="1" showInputMessage="1" showErrorMessage="1" sqref="G203" xr:uid="{5ADE6190-5F80-4B7C-8249-98A2C3973889}">
      <formula1>"Mandatory identification of calendar year, Voluntary identification of calendar year,N/A"</formula1>
    </dataValidation>
    <dataValidation type="list" allowBlank="1" showInputMessage="1" showErrorMessage="1" sqref="G147" xr:uid="{3E02A501-12F8-4500-B9A7-C36EB2F8D5C0}">
      <formula1>$G$148:$G$151</formula1>
    </dataValidation>
    <dataValidation type="list" allowBlank="1" showInputMessage="1" showErrorMessage="1" sqref="G203" xr:uid="{7EA7C392-A7AF-4596-9AE9-216CD8B12423}">
      <formula1>"Mandatory identification of calendar year, Voluntary identification of calendar year, N/A"</formula1>
    </dataValidation>
    <dataValidation type="list" allowBlank="1" showInputMessage="1" showErrorMessage="1" sqref="G226" xr:uid="{CA58DEC1-F26B-4D2C-8151-7D0F425DA8B4}">
      <formula1>$G$227:$G$230</formula1>
    </dataValidation>
    <dataValidation type="list" allowBlank="1" showInputMessage="1" showErrorMessage="1" sqref="G247" xr:uid="{B81A3ADA-611E-4C9C-8DFA-80F756A48C05}">
      <formula1>$G$248:$G$251</formula1>
    </dataValidation>
    <dataValidation type="list" allowBlank="1" showInputMessage="1" showErrorMessage="1" sqref="G558" xr:uid="{F786CFDA-ABB9-4715-BC4F-69D6ACB6C865}">
      <formula1>"Yes,No,N/A"</formula1>
    </dataValidation>
    <dataValidation type="list" allowBlank="1" showInputMessage="1" showErrorMessage="1" sqref="G261" xr:uid="{24560777-41CF-4DCB-B604-E0A2CC3C68AD}">
      <formula1>"100 years or longer,&gt;= 60 years, &gt;= 30 years,Shorter"</formula1>
    </dataValidation>
    <dataValidation type="list" allowBlank="1" showInputMessage="1" showErrorMessage="1" sqref="G287" xr:uid="{102E80BF-26F9-433C-BAC1-BE40A80378E0}">
      <formula1>"NA,50% or less of the pooled buffer reserve,More than 50% of the pooled buffer reserve"</formula1>
    </dataValidation>
    <dataValidation type="list" allowBlank="1" showInputMessage="1" showErrorMessage="1" sqref="F353 F355" xr:uid="{6D17B250-6467-43AC-B3D8-807D2EF46907}">
      <formula1>"List1"</formula1>
    </dataValidation>
    <dataValidation type="list" allowBlank="1" showInputMessage="1" showErrorMessage="1" sqref="G329" xr:uid="{DA9AA0B7-129A-4405-9291-094F5E5B6E30}">
      <formula1>List1</formula1>
    </dataValidation>
    <dataValidation type="list" allowBlank="1" showInputMessage="1" showErrorMessage="1" sqref="G500:G506 G559:G565" xr:uid="{C62AD3C7-EF80-4645-BCF5-B689FE68F238}">
      <formula1>"3,2,1,0,-1,-2,-3"</formula1>
    </dataValidation>
    <dataValidation type="list" allowBlank="1" showInputMessage="1" showErrorMessage="1" sqref="G474:G489" xr:uid="{1C22F1CF-8CFB-44FE-80CA-884C74EFD5BE}">
      <formula1>"Indivisible impact (3 points),Reinforcing impact (2 points), Enabling impact (1 point), Consistent impact (0 points), Constraining impact (-1 point), Counteracting imact (-2 points), Cancelling impact (-3 points)"</formula1>
    </dataValidation>
    <dataValidation type="list" allowBlank="1" showInputMessage="1" showErrorMessage="1" sqref="G499 G507:G508" xr:uid="{46374B0B-877B-4B28-8D1E-D9D6872B2C0B}">
      <formula1>$G$500:$G$506</formula1>
    </dataValidation>
    <dataValidation type="list" allowBlank="1" showInputMessage="1" showErrorMessage="1" sqref="G539" xr:uid="{1B119C0F-01A6-4288-86AE-D503AB875648}">
      <formula1>G540:G542</formula1>
    </dataValidation>
    <dataValidation type="list" allowBlank="1" showInputMessage="1" showErrorMessage="1" sqref="G536" xr:uid="{FECF06E0-C738-4702-8688-F0C6B571D609}">
      <formula1>G537:G538</formula1>
    </dataValidation>
    <dataValidation type="list" allowBlank="1" showInputMessage="1" showErrorMessage="1" sqref="G521 G526 G531 G86" xr:uid="{78E31F7A-9765-497D-93CB-C39A1B3356DF}">
      <formula1>G87:G90</formula1>
    </dataValidation>
    <dataValidation type="list" allowBlank="1" showInputMessage="1" showErrorMessage="1" sqref="G551" xr:uid="{FF9DA899-09E7-4F6D-86C3-F19CA3C139D8}">
      <formula1>$G$552:$G$556</formula1>
    </dataValidation>
    <dataValidation type="list" allowBlank="1" showInputMessage="1" showErrorMessage="1" sqref="G576" xr:uid="{1B6A0852-A958-42D6-83B8-3525C1BC58C6}">
      <formula1>$G$577:$G$581</formula1>
    </dataValidation>
    <dataValidation type="list" allowBlank="1" showInputMessage="1" showErrorMessage="1" sqref="G459" xr:uid="{68018C96-71E9-4D5F-835E-0004E8E40DA8}">
      <mc:AlternateContent xmlns:x12ac="http://schemas.microsoft.com/office/spreadsheetml/2011/1/ac" xmlns:mc="http://schemas.openxmlformats.org/markup-compatibility/2006">
        <mc:Choice Requires="x12ac">
          <x12ac:list>"processes dedicated to avoiding physical and economic displacement and to free, prior and informed consent from indigenous people",all safeguard processes which are included in the program’s provisions,N/A</x12ac:list>
        </mc:Choice>
        <mc:Fallback>
          <formula1>"processes dedicated to avoiding physical and economic displacement and to free, prior and informed consent from indigenous people,all safeguard processes which are included in the program’s provisions,N/A"</formula1>
        </mc:Fallback>
      </mc:AlternateContent>
    </dataValidation>
    <dataValidation type="list" allowBlank="1" showInputMessage="1" showErrorMessage="1" sqref="G100" xr:uid="{5696435B-224F-44A7-8406-5D9CC85AF905}">
      <formula1>$G$101:$G$105</formula1>
    </dataValidation>
    <dataValidation type="list" allowBlank="1" showInputMessage="1" showErrorMessage="1" sqref="G54" xr:uid="{82ABE060-ADF4-4EA4-914F-48C6A37CB016}">
      <formula1>$G$55:$G$59</formula1>
    </dataValidation>
    <dataValidation type="list" allowBlank="1" showInputMessage="1" showErrorMessage="1" sqref="G34" xr:uid="{DF73C1AA-409D-4BB3-8275-5D01B9B506CA}">
      <formula1>$G$35:$G$37</formula1>
    </dataValidation>
    <dataValidation type="list" allowBlank="1" showInputMessage="1" showErrorMessage="1" sqref="G20" xr:uid="{ECFD67AA-8029-4B5F-B3C8-CE1033F696F2}">
      <formula1>$G$21:$G$23</formula1>
    </dataValidation>
    <dataValidation type="list" allowBlank="1" showInputMessage="1" showErrorMessage="1" sqref="G24" xr:uid="{84FF96D9-6B29-4C3E-BB81-CECDD91E6EEE}">
      <formula1>G25:G29</formula1>
    </dataValidation>
    <dataValidation type="list" allowBlank="1" showInputMessage="1" showErrorMessage="1" sqref="G66" xr:uid="{8C722DFB-168F-4669-BFBF-7456117B29AD}">
      <formula1>"High Vulnerability,Vulnerability not conclusive,Low Vulnerability"</formula1>
    </dataValidation>
    <dataValidation type="list" allowBlank="1" showInputMessage="1" showErrorMessage="1" sqref="G65" xr:uid="{4DB4BE74-74DD-402C-A4EC-2446CB9FAD1A}">
      <formula1>"The market is functioning,The market is collapsed"</formula1>
    </dataValidation>
    <dataValidation type="list" allowBlank="1" showInputMessage="1" showErrorMessage="1" sqref="G298" xr:uid="{69E5B766-06AE-46E5-B927-D4401FC69634}">
      <formula1>$G$605:$G$607</formula1>
    </dataValidation>
    <dataValidation type="list" allowBlank="1" showInputMessage="1" showErrorMessage="1" sqref="G278" xr:uid="{CB49C5DA-73BF-4F8C-A9D3-346847A49999}">
      <formula1>$G$600:$G$602</formula1>
    </dataValidation>
    <dataValidation type="list" allowBlank="1" showInputMessage="1" showErrorMessage="1" sqref="G316" xr:uid="{093EC0CC-8784-4894-B74B-572E3D430FFF}">
      <formula1>"Use of legal covenants or agreements is required,Measures are not required but their existence leads to a lower specific risk assessment,N/A"</formula1>
    </dataValidation>
    <dataValidation type="list" allowBlank="1" showInputMessage="1" showErrorMessage="1" sqref="G80" xr:uid="{749428EF-FC75-4564-B785-30E8367AADF7}">
      <formula1>"Emission reductions or removals must be determined in a conservative manner,Emission reductions or removals must be determined in a conservative manner (unless they can be determined with very high accuracy)"</formula1>
    </dataValidation>
    <dataValidation type="list" allowBlank="1" showInputMessage="1" showErrorMessage="1" sqref="G43" xr:uid="{9B4A208E-CEF0-4BEF-9123-495BD878588F}">
      <formula1>"Financial attractiveness,Barriers,Financial attractiveness and barriers"</formula1>
    </dataValidation>
  </dataValidations>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47F58B0CFAB2241B729AC5F9C7901AD" ma:contentTypeVersion="10" ma:contentTypeDescription="Ein neues Dokument erstellen." ma:contentTypeScope="" ma:versionID="05b319147237046eb48f829a4047357d">
  <xsd:schema xmlns:xsd="http://www.w3.org/2001/XMLSchema" xmlns:xs="http://www.w3.org/2001/XMLSchema" xmlns:p="http://schemas.microsoft.com/office/2006/metadata/properties" xmlns:ns2="28894b86-62d8-400f-b1b5-20218f98a303" targetNamespace="http://schemas.microsoft.com/office/2006/metadata/properties" ma:root="true" ma:fieldsID="b7e6a2a8f8eabbba6beb69a0b1f7b79f" ns2:_="">
    <xsd:import namespace="28894b86-62d8-400f-b1b5-20218f98a3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894b86-62d8-400f-b1b5-20218f98a3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BF9BF9-3AB0-44B1-A520-C6E1F669F2A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0A85D0E-CA87-410F-ABBF-57C76399C739}">
  <ds:schemaRefs>
    <ds:schemaRef ds:uri="http://schemas.microsoft.com/sharepoint/v3/contenttype/forms"/>
  </ds:schemaRefs>
</ds:datastoreItem>
</file>

<file path=customXml/itemProps3.xml><?xml version="1.0" encoding="utf-8"?>
<ds:datastoreItem xmlns:ds="http://schemas.openxmlformats.org/officeDocument/2006/customXml" ds:itemID="{C7C34D57-0B6B-4598-8935-5EE9A3016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894b86-62d8-400f-b1b5-20218f98a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8</vt:i4>
      </vt:variant>
    </vt:vector>
  </HeadingPairs>
  <TitlesOfParts>
    <vt:vector size="11" baseType="lpstr">
      <vt:lpstr>About</vt:lpstr>
      <vt:lpstr>Results</vt:lpstr>
      <vt:lpstr>Inputs</vt:lpstr>
      <vt:lpstr>Inputs!_Hlk73976076</vt:lpstr>
      <vt:lpstr>Inputs!_Hlk74061125</vt:lpstr>
      <vt:lpstr>Inputs!_Toc86573798</vt:lpstr>
      <vt:lpstr>List1</vt:lpstr>
      <vt:lpstr>Results!Requirements</vt:lpstr>
      <vt:lpstr>Requirements</vt:lpstr>
      <vt:lpstr>Technology</vt:lpstr>
      <vt:lpstr>TechnologyType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Felix Fallasch</cp:lastModifiedBy>
  <cp:revision/>
  <dcterms:created xsi:type="dcterms:W3CDTF">2021-10-24T18:19:45Z</dcterms:created>
  <dcterms:modified xsi:type="dcterms:W3CDTF">2022-11-14T11:19:20Z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0x010100047F58B0CFAB2241B729AC5F9C7901AD</vt:lpwstr>
  </property>
</Properties>
</file>